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информация с 13.12.2017г\Аналитический отчет о социально-экономической ситуации за 2026 год\"/>
    </mc:Choice>
  </mc:AlternateContent>
  <xr:revisionPtr revIDLastSave="0" documentId="8_{7A2CE721-5C31-4B89-8B3B-D3910EF23A1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Аналит.отчет" sheetId="1" r:id="rId1"/>
    <sheet name="Диагностика" sheetId="2" r:id="rId2"/>
    <sheet name="Расчет ИФО" sheetId="3" r:id="rId3"/>
    <sheet name="Инвест. проекты" sheetId="5" r:id="rId4"/>
  </sheets>
  <definedNames>
    <definedName name="_xlnm.Print_Titles" localSheetId="0">Аналит.отчет!$5:$5</definedName>
    <definedName name="_xlnm.Print_Titles" localSheetId="1">Диагностика!$7:$7</definedName>
    <definedName name="_xlnm.Print_Titles" localSheetId="2">'Расчет ИФО'!$5:$9</definedName>
    <definedName name="_xlnm.Print_Area" localSheetId="0">Аналит.отчет!$A$1:$E$144</definedName>
    <definedName name="_xlnm.Print_Area" localSheetId="1">Диагностика!$A$1:$S$166</definedName>
    <definedName name="_xlnm.Print_Area" localSheetId="3">'Инвест. проекты'!$A$1:$H$7</definedName>
    <definedName name="_xlnm.Print_Area" localSheetId="2">'Расчет ИФО'!$A$1:$I$78</definedName>
  </definedNames>
  <calcPr calcId="181029"/>
</workbook>
</file>

<file path=xl/calcChain.xml><?xml version="1.0" encoding="utf-8"?>
<calcChain xmlns="http://schemas.openxmlformats.org/spreadsheetml/2006/main">
  <c r="S70" i="2" l="1"/>
  <c r="R70" i="2"/>
  <c r="L70" i="2"/>
  <c r="K70" i="2"/>
  <c r="H164" i="2"/>
  <c r="N164" i="2"/>
  <c r="M164" i="2"/>
  <c r="D69" i="1"/>
  <c r="C69" i="1"/>
  <c r="G164" i="2"/>
  <c r="C85" i="1"/>
  <c r="D36" i="3" l="1"/>
  <c r="E36" i="3"/>
  <c r="D21" i="3"/>
  <c r="E21" i="3"/>
  <c r="D29" i="3"/>
  <c r="E29" i="3"/>
  <c r="D22" i="3"/>
  <c r="E22" i="3"/>
  <c r="C90" i="1" l="1"/>
  <c r="C114" i="1"/>
  <c r="C27" i="1"/>
  <c r="C33" i="1"/>
  <c r="P137" i="2"/>
  <c r="O137" i="2"/>
  <c r="N159" i="2"/>
  <c r="Q159" i="2"/>
  <c r="Q158" i="2"/>
  <c r="N161" i="2"/>
  <c r="M161" i="2"/>
  <c r="M159" i="2"/>
  <c r="P162" i="2"/>
  <c r="P161" i="2"/>
  <c r="Q162" i="2"/>
  <c r="O162" i="2"/>
  <c r="N162" i="2"/>
  <c r="M162" i="2"/>
  <c r="O161" i="2"/>
  <c r="R161" i="2" s="1"/>
  <c r="Q161" i="2"/>
  <c r="O159" i="2"/>
  <c r="P159" i="2"/>
  <c r="S159" i="2" s="1"/>
  <c r="O160" i="2"/>
  <c r="O158" i="2"/>
  <c r="M158" i="2"/>
  <c r="P158" i="2"/>
  <c r="S158" i="2" s="1"/>
  <c r="N158" i="2"/>
  <c r="P160" i="2"/>
  <c r="N160" i="2"/>
  <c r="R162" i="2" l="1"/>
  <c r="R159" i="2"/>
  <c r="S162" i="2"/>
  <c r="S160" i="2"/>
  <c r="R158" i="2"/>
  <c r="S161" i="2"/>
  <c r="L94" i="2" l="1"/>
  <c r="K94" i="2"/>
  <c r="L88" i="2"/>
  <c r="K88" i="2"/>
  <c r="L102" i="2"/>
  <c r="L152" i="2"/>
  <c r="K152" i="2"/>
  <c r="S157" i="2"/>
  <c r="R157" i="2"/>
  <c r="S156" i="2"/>
  <c r="R156" i="2"/>
  <c r="S155" i="2"/>
  <c r="R155" i="2"/>
  <c r="S154" i="2"/>
  <c r="R154" i="2"/>
  <c r="S153" i="2"/>
  <c r="R153" i="2"/>
  <c r="S152" i="2"/>
  <c r="R152" i="2"/>
  <c r="S150" i="2"/>
  <c r="R150" i="2"/>
  <c r="S149" i="2"/>
  <c r="R149" i="2"/>
  <c r="L157" i="2"/>
  <c r="K157" i="2"/>
  <c r="L156" i="2"/>
  <c r="K156" i="2"/>
  <c r="L155" i="2"/>
  <c r="K155" i="2"/>
  <c r="L154" i="2"/>
  <c r="K154" i="2"/>
  <c r="L153" i="2"/>
  <c r="K153" i="2"/>
  <c r="L150" i="2"/>
  <c r="K150" i="2"/>
  <c r="L149" i="2"/>
  <c r="K149" i="2"/>
  <c r="S145" i="2"/>
  <c r="R145" i="2"/>
  <c r="S142" i="2"/>
  <c r="R142" i="2"/>
  <c r="L145" i="2"/>
  <c r="K145" i="2"/>
  <c r="S138" i="2"/>
  <c r="R138" i="2"/>
  <c r="S136" i="2"/>
  <c r="R136" i="2"/>
  <c r="I137" i="2"/>
  <c r="L138" i="2"/>
  <c r="K138" i="2"/>
  <c r="L136" i="2"/>
  <c r="K136" i="2"/>
  <c r="S132" i="2"/>
  <c r="R132" i="2"/>
  <c r="S131" i="2"/>
  <c r="R131" i="2"/>
  <c r="S130" i="2"/>
  <c r="R130" i="2"/>
  <c r="S127" i="2"/>
  <c r="R127" i="2"/>
  <c r="S126" i="2"/>
  <c r="R126" i="2"/>
  <c r="S123" i="2"/>
  <c r="R123" i="2"/>
  <c r="L132" i="2"/>
  <c r="K132" i="2"/>
  <c r="L131" i="2"/>
  <c r="K131" i="2"/>
  <c r="L130" i="2"/>
  <c r="K130" i="2"/>
  <c r="S122" i="2"/>
  <c r="R122" i="2"/>
  <c r="L123" i="2"/>
  <c r="K123" i="2"/>
  <c r="K122" i="2"/>
  <c r="S121" i="2"/>
  <c r="R121" i="2"/>
  <c r="S120" i="2"/>
  <c r="R120" i="2"/>
  <c r="S119" i="2"/>
  <c r="R119" i="2"/>
  <c r="S118" i="2"/>
  <c r="R118" i="2"/>
  <c r="S117" i="2"/>
  <c r="R117" i="2"/>
  <c r="S116" i="2"/>
  <c r="R116" i="2"/>
  <c r="S115" i="2"/>
  <c r="R115" i="2"/>
  <c r="S114" i="2"/>
  <c r="R114" i="2"/>
  <c r="S113" i="2"/>
  <c r="R113" i="2"/>
  <c r="S112" i="2"/>
  <c r="R112" i="2"/>
  <c r="S111" i="2"/>
  <c r="R111" i="2"/>
  <c r="L121" i="2"/>
  <c r="K121" i="2"/>
  <c r="L120" i="2"/>
  <c r="K120" i="2"/>
  <c r="L119" i="2"/>
  <c r="K119" i="2"/>
  <c r="L118" i="2"/>
  <c r="K118" i="2"/>
  <c r="L117" i="2"/>
  <c r="K117" i="2"/>
  <c r="L116" i="2"/>
  <c r="K116" i="2"/>
  <c r="L115" i="2"/>
  <c r="K115" i="2"/>
  <c r="L114" i="2"/>
  <c r="K114" i="2"/>
  <c r="L113" i="2"/>
  <c r="K113" i="2"/>
  <c r="L112" i="2"/>
  <c r="K112" i="2"/>
  <c r="L111" i="2"/>
  <c r="K111" i="2"/>
  <c r="K108" i="2"/>
  <c r="K107" i="2"/>
  <c r="L106" i="2"/>
  <c r="K106" i="2"/>
  <c r="L105" i="2"/>
  <c r="K105" i="2"/>
  <c r="L104" i="2"/>
  <c r="K104" i="2"/>
  <c r="L103" i="2"/>
  <c r="K103" i="2"/>
  <c r="K102" i="2"/>
  <c r="S108" i="2"/>
  <c r="R108" i="2"/>
  <c r="S107" i="2"/>
  <c r="R107" i="2"/>
  <c r="S106" i="2"/>
  <c r="R106" i="2"/>
  <c r="S105" i="2"/>
  <c r="R105" i="2"/>
  <c r="S104" i="2"/>
  <c r="R104" i="2"/>
  <c r="S103" i="2"/>
  <c r="R103" i="2"/>
  <c r="S102" i="2"/>
  <c r="R102" i="2"/>
  <c r="S101" i="2"/>
  <c r="R101" i="2"/>
  <c r="K101" i="2"/>
  <c r="S100" i="2"/>
  <c r="R100" i="2"/>
  <c r="S94" i="2"/>
  <c r="R94" i="2"/>
  <c r="S88" i="2"/>
  <c r="R88" i="2"/>
  <c r="S84" i="2"/>
  <c r="R84" i="2"/>
  <c r="S83" i="2"/>
  <c r="R83" i="2"/>
  <c r="S82" i="2"/>
  <c r="R82" i="2"/>
  <c r="K84" i="2"/>
  <c r="L83" i="2"/>
  <c r="K83" i="2"/>
  <c r="L82" i="2"/>
  <c r="K82" i="2"/>
  <c r="S79" i="2"/>
  <c r="R79" i="2"/>
  <c r="S78" i="2"/>
  <c r="R78" i="2"/>
  <c r="S77" i="2"/>
  <c r="R77" i="2"/>
  <c r="S76" i="2"/>
  <c r="R76" i="2"/>
  <c r="L79" i="2"/>
  <c r="K79" i="2"/>
  <c r="L78" i="2"/>
  <c r="K78" i="2"/>
  <c r="L77" i="2"/>
  <c r="K77" i="2"/>
  <c r="L76" i="2"/>
  <c r="K76" i="2"/>
  <c r="L71" i="2"/>
  <c r="K71" i="2"/>
  <c r="L69" i="2"/>
  <c r="K69" i="2"/>
  <c r="L68" i="2"/>
  <c r="K68" i="2"/>
  <c r="S71" i="2"/>
  <c r="R71" i="2"/>
  <c r="S69" i="2"/>
  <c r="R69" i="2"/>
  <c r="S68" i="2"/>
  <c r="R68" i="2"/>
  <c r="S65" i="2"/>
  <c r="R65" i="2"/>
  <c r="S58" i="2"/>
  <c r="R58" i="2"/>
  <c r="L65" i="2"/>
  <c r="K65" i="2"/>
  <c r="S57" i="2"/>
  <c r="R57" i="2"/>
  <c r="L58" i="2"/>
  <c r="K58" i="2"/>
  <c r="L57" i="2"/>
  <c r="K57" i="2"/>
  <c r="L56" i="2"/>
  <c r="K56" i="2"/>
  <c r="S56" i="2"/>
  <c r="R56" i="2"/>
  <c r="S53" i="2"/>
  <c r="R53" i="2"/>
  <c r="S52" i="2"/>
  <c r="R52" i="2"/>
  <c r="L53" i="2"/>
  <c r="K53" i="2"/>
  <c r="K52" i="2"/>
  <c r="L52" i="2"/>
  <c r="S48" i="2"/>
  <c r="R48" i="2"/>
  <c r="S47" i="2"/>
  <c r="R47" i="2"/>
  <c r="S46" i="2"/>
  <c r="R46" i="2"/>
  <c r="S45" i="2"/>
  <c r="R45" i="2"/>
  <c r="S44" i="2"/>
  <c r="R44" i="2"/>
  <c r="S43" i="2"/>
  <c r="R43" i="2"/>
  <c r="S42" i="2"/>
  <c r="R42" i="2"/>
  <c r="S41" i="2"/>
  <c r="R41" i="2"/>
  <c r="S40" i="2"/>
  <c r="R40" i="2"/>
  <c r="S39" i="2"/>
  <c r="R39" i="2"/>
  <c r="S38" i="2"/>
  <c r="R38" i="2"/>
  <c r="S37" i="2"/>
  <c r="R37" i="2"/>
  <c r="S36" i="2"/>
  <c r="R36" i="2"/>
  <c r="S35" i="2"/>
  <c r="R35" i="2"/>
  <c r="S34" i="2"/>
  <c r="R34" i="2"/>
  <c r="S33" i="2"/>
  <c r="R33" i="2"/>
  <c r="S32" i="2"/>
  <c r="R32" i="2"/>
  <c r="S31" i="2"/>
  <c r="R31" i="2"/>
  <c r="S30" i="2"/>
  <c r="R30" i="2"/>
  <c r="S29" i="2"/>
  <c r="R29" i="2"/>
  <c r="S28" i="2"/>
  <c r="R28" i="2"/>
  <c r="S27" i="2"/>
  <c r="R27" i="2"/>
  <c r="S26" i="2"/>
  <c r="R26" i="2"/>
  <c r="S25" i="2"/>
  <c r="R25" i="2"/>
  <c r="S24" i="2"/>
  <c r="R24" i="2"/>
  <c r="S23" i="2"/>
  <c r="R23" i="2"/>
  <c r="S22" i="2"/>
  <c r="R22" i="2"/>
  <c r="S21" i="2"/>
  <c r="R21" i="2"/>
  <c r="R20" i="2"/>
  <c r="R19" i="2"/>
  <c r="S18" i="2"/>
  <c r="R18" i="2"/>
  <c r="S17" i="2"/>
  <c r="R17" i="2"/>
  <c r="S16" i="2"/>
  <c r="R16" i="2"/>
  <c r="S15" i="2"/>
  <c r="R15" i="2"/>
  <c r="S12" i="2"/>
  <c r="R12" i="2"/>
  <c r="L151" i="2" l="1"/>
  <c r="L164" i="2"/>
  <c r="L74" i="2"/>
  <c r="L81" i="2"/>
  <c r="C49" i="1"/>
  <c r="S59" i="2"/>
  <c r="R59" i="2"/>
  <c r="L59" i="2"/>
  <c r="L100" i="2"/>
  <c r="D49" i="1"/>
  <c r="E65" i="1" l="1"/>
  <c r="E61" i="1"/>
  <c r="E58" i="1"/>
  <c r="E84" i="1"/>
  <c r="E83" i="1"/>
  <c r="E82" i="1"/>
  <c r="E81" i="1"/>
  <c r="E77" i="1"/>
  <c r="E74" i="1"/>
  <c r="E72" i="1"/>
  <c r="E70" i="1"/>
  <c r="D70" i="1"/>
  <c r="C70" i="1"/>
  <c r="D56" i="1"/>
  <c r="D54" i="1" s="1"/>
  <c r="C56" i="1"/>
  <c r="C54" i="1" s="1"/>
  <c r="P93" i="2"/>
  <c r="P55" i="2"/>
  <c r="N55" i="2"/>
  <c r="M55" i="2"/>
  <c r="J55" i="2"/>
  <c r="H55" i="2"/>
  <c r="P151" i="2"/>
  <c r="P148" i="2"/>
  <c r="N151" i="2"/>
  <c r="N148" i="2"/>
  <c r="L148" i="2"/>
  <c r="L147" i="2" s="1"/>
  <c r="J148" i="2"/>
  <c r="O151" i="2"/>
  <c r="M151" i="2"/>
  <c r="J151" i="2"/>
  <c r="H151" i="2"/>
  <c r="H148" i="2"/>
  <c r="P141" i="2"/>
  <c r="O141" i="2"/>
  <c r="N141" i="2"/>
  <c r="N144" i="2"/>
  <c r="P144" i="2"/>
  <c r="L144" i="2"/>
  <c r="J144" i="2"/>
  <c r="L141" i="2"/>
  <c r="J141" i="2"/>
  <c r="H141" i="2"/>
  <c r="H144" i="2"/>
  <c r="P125" i="2"/>
  <c r="N125" i="2"/>
  <c r="L125" i="2"/>
  <c r="J125" i="2"/>
  <c r="H125" i="2"/>
  <c r="P129" i="2"/>
  <c r="N129" i="2"/>
  <c r="J129" i="2"/>
  <c r="H129" i="2"/>
  <c r="P110" i="2"/>
  <c r="N110" i="2"/>
  <c r="J110" i="2"/>
  <c r="I110" i="2"/>
  <c r="H110" i="2"/>
  <c r="Q99" i="2"/>
  <c r="P99" i="2"/>
  <c r="N99" i="2"/>
  <c r="M99" i="2"/>
  <c r="L99" i="2"/>
  <c r="J99" i="2"/>
  <c r="H99" i="2"/>
  <c r="N137" i="2"/>
  <c r="S137" i="2" s="1"/>
  <c r="J137" i="2"/>
  <c r="H137" i="2"/>
  <c r="P135" i="2"/>
  <c r="P134" i="2" s="1"/>
  <c r="N135" i="2"/>
  <c r="J135" i="2"/>
  <c r="H135" i="2"/>
  <c r="N93" i="2"/>
  <c r="N92" i="2" s="1"/>
  <c r="L93" i="2"/>
  <c r="L92" i="2" s="1"/>
  <c r="J93" i="2"/>
  <c r="J92" i="2" s="1"/>
  <c r="H93" i="2"/>
  <c r="H92" i="2" s="1"/>
  <c r="P87" i="2"/>
  <c r="N87" i="2"/>
  <c r="N86" i="2" s="1"/>
  <c r="L87" i="2"/>
  <c r="L86" i="2" s="1"/>
  <c r="J87" i="2"/>
  <c r="J86" i="2" s="1"/>
  <c r="H87" i="2"/>
  <c r="H86" i="2" s="1"/>
  <c r="P74" i="2"/>
  <c r="N74" i="2"/>
  <c r="M74" i="2"/>
  <c r="J74" i="2"/>
  <c r="H74" i="2"/>
  <c r="P81" i="2"/>
  <c r="O81" i="2"/>
  <c r="N81" i="2"/>
  <c r="M81" i="2"/>
  <c r="J81" i="2"/>
  <c r="I81" i="2"/>
  <c r="H81" i="2"/>
  <c r="G81" i="2"/>
  <c r="G74" i="2"/>
  <c r="P67" i="2"/>
  <c r="N67" i="2"/>
  <c r="J67" i="2"/>
  <c r="H67" i="2"/>
  <c r="P64" i="2"/>
  <c r="N64" i="2"/>
  <c r="J64" i="2"/>
  <c r="H64" i="2"/>
  <c r="P51" i="2"/>
  <c r="N51" i="2"/>
  <c r="L51" i="2"/>
  <c r="J51" i="2"/>
  <c r="H51" i="2"/>
  <c r="P11" i="2"/>
  <c r="N14" i="2"/>
  <c r="S14" i="2" s="1"/>
  <c r="L14" i="2"/>
  <c r="N11" i="2"/>
  <c r="J14" i="2"/>
  <c r="J11" i="2"/>
  <c r="H14" i="2"/>
  <c r="H11" i="2"/>
  <c r="L129" i="2" l="1"/>
  <c r="L124" i="2" s="1"/>
  <c r="S148" i="2"/>
  <c r="S144" i="2"/>
  <c r="L135" i="2"/>
  <c r="S129" i="2"/>
  <c r="S141" i="2"/>
  <c r="L137" i="2"/>
  <c r="L134" i="2" s="1"/>
  <c r="S125" i="2"/>
  <c r="R81" i="2"/>
  <c r="R151" i="2"/>
  <c r="S151" i="2"/>
  <c r="S135" i="2"/>
  <c r="L110" i="2"/>
  <c r="L98" i="2" s="1"/>
  <c r="S11" i="2"/>
  <c r="S99" i="2"/>
  <c r="P86" i="2"/>
  <c r="S86" i="2" s="1"/>
  <c r="S87" i="2"/>
  <c r="P92" i="2"/>
  <c r="S92" i="2" s="1"/>
  <c r="S93" i="2"/>
  <c r="S110" i="2"/>
  <c r="J98" i="2"/>
  <c r="S67" i="2"/>
  <c r="S51" i="2"/>
  <c r="L64" i="2"/>
  <c r="S81" i="2"/>
  <c r="S55" i="2"/>
  <c r="S64" i="2"/>
  <c r="S74" i="2"/>
  <c r="L73" i="2"/>
  <c r="K81" i="2"/>
  <c r="H73" i="2"/>
  <c r="L67" i="2"/>
  <c r="L55" i="2"/>
  <c r="L50" i="2" s="1"/>
  <c r="E56" i="1"/>
  <c r="J73" i="2"/>
  <c r="H134" i="2"/>
  <c r="H147" i="2"/>
  <c r="J124" i="2"/>
  <c r="L10" i="2"/>
  <c r="N73" i="2"/>
  <c r="H140" i="2"/>
  <c r="N63" i="2"/>
  <c r="N147" i="2"/>
  <c r="P50" i="2"/>
  <c r="P73" i="2"/>
  <c r="J140" i="2"/>
  <c r="P147" i="2"/>
  <c r="P10" i="2"/>
  <c r="P63" i="2"/>
  <c r="L140" i="2"/>
  <c r="J10" i="2"/>
  <c r="N134" i="2"/>
  <c r="P98" i="2"/>
  <c r="H124" i="2"/>
  <c r="P124" i="2"/>
  <c r="N124" i="2"/>
  <c r="N140" i="2"/>
  <c r="N50" i="2"/>
  <c r="J63" i="2"/>
  <c r="J134" i="2"/>
  <c r="P140" i="2"/>
  <c r="S140" i="2" s="1"/>
  <c r="J147" i="2"/>
  <c r="J50" i="2"/>
  <c r="N98" i="2"/>
  <c r="H63" i="2"/>
  <c r="H98" i="2"/>
  <c r="H10" i="2"/>
  <c r="H50" i="2"/>
  <c r="N10" i="2"/>
  <c r="Q11" i="2"/>
  <c r="Q14" i="2"/>
  <c r="Q51" i="2"/>
  <c r="Q55" i="2"/>
  <c r="Q64" i="2"/>
  <c r="Q67" i="2"/>
  <c r="Q74" i="2"/>
  <c r="Q87" i="2"/>
  <c r="Q86" i="2" s="1"/>
  <c r="Q92" i="2"/>
  <c r="Q110" i="2"/>
  <c r="Q125" i="2"/>
  <c r="Q129" i="2"/>
  <c r="Q135" i="2"/>
  <c r="Q137" i="2"/>
  <c r="Q141" i="2"/>
  <c r="Q140" i="2" s="1"/>
  <c r="Q148" i="2"/>
  <c r="Q151" i="2"/>
  <c r="E89" i="1"/>
  <c r="E20" i="1"/>
  <c r="M137" i="2"/>
  <c r="R137" i="2" s="1"/>
  <c r="G137" i="2"/>
  <c r="K137" i="2" s="1"/>
  <c r="F137" i="2"/>
  <c r="O135" i="2"/>
  <c r="M135" i="2"/>
  <c r="I135" i="2"/>
  <c r="G135" i="2"/>
  <c r="F135" i="2"/>
  <c r="H61" i="2" l="1"/>
  <c r="L63" i="2"/>
  <c r="L61" i="2" s="1"/>
  <c r="S124" i="2"/>
  <c r="K135" i="2"/>
  <c r="K134" i="2" s="1"/>
  <c r="R135" i="2"/>
  <c r="S134" i="2"/>
  <c r="S147" i="2"/>
  <c r="S50" i="2"/>
  <c r="S98" i="2"/>
  <c r="S73" i="2"/>
  <c r="S63" i="2"/>
  <c r="N61" i="2"/>
  <c r="J9" i="2"/>
  <c r="S10" i="2"/>
  <c r="Q124" i="2"/>
  <c r="J61" i="2"/>
  <c r="P9" i="2"/>
  <c r="Q50" i="2"/>
  <c r="L9" i="2"/>
  <c r="N9" i="2"/>
  <c r="P61" i="2"/>
  <c r="H9" i="2"/>
  <c r="Q147" i="2"/>
  <c r="Q63" i="2"/>
  <c r="Q134" i="2"/>
  <c r="Q98" i="2"/>
  <c r="Q73" i="2"/>
  <c r="Q10" i="2"/>
  <c r="Q9" i="2" s="1"/>
  <c r="G134" i="2"/>
  <c r="I134" i="2"/>
  <c r="M134" i="2"/>
  <c r="O134" i="2"/>
  <c r="F134" i="2"/>
  <c r="I87" i="2"/>
  <c r="H163" i="2" l="1"/>
  <c r="H165" i="2" s="1"/>
  <c r="L163" i="2"/>
  <c r="R134" i="2"/>
  <c r="S61" i="2"/>
  <c r="J163" i="2"/>
  <c r="P163" i="2"/>
  <c r="S9" i="2"/>
  <c r="N163" i="2"/>
  <c r="N165" i="2" s="1"/>
  <c r="Q61" i="2"/>
  <c r="Q163" i="2" s="1"/>
  <c r="D9" i="1"/>
  <c r="S163" i="2" l="1"/>
  <c r="D7" i="1"/>
  <c r="O11" i="2"/>
  <c r="M11" i="2"/>
  <c r="K11" i="2"/>
  <c r="R11" i="2" l="1"/>
  <c r="D23" i="1"/>
  <c r="M160" i="2"/>
  <c r="R160" i="2" l="1"/>
  <c r="F99" i="2"/>
  <c r="F74" i="2" l="1"/>
  <c r="H72" i="3" l="1"/>
  <c r="G72" i="3"/>
  <c r="H71" i="3"/>
  <c r="G71" i="3"/>
  <c r="H68" i="3"/>
  <c r="G68" i="3"/>
  <c r="H63" i="3"/>
  <c r="G63" i="3"/>
  <c r="G66" i="3" s="1"/>
  <c r="H60" i="3"/>
  <c r="G60" i="3"/>
  <c r="H57" i="3"/>
  <c r="H58" i="3" s="1"/>
  <c r="G57" i="3"/>
  <c r="G58" i="3" s="1"/>
  <c r="H29" i="3"/>
  <c r="G29" i="3"/>
  <c r="G22" i="3"/>
  <c r="H22" i="3"/>
  <c r="H21" i="3"/>
  <c r="G21" i="3"/>
  <c r="H15" i="3"/>
  <c r="G15" i="3"/>
  <c r="H14" i="3"/>
  <c r="G14" i="3"/>
  <c r="I72" i="3" l="1"/>
  <c r="H74" i="3"/>
  <c r="I71" i="3"/>
  <c r="G73" i="3"/>
  <c r="G61" i="3"/>
  <c r="H61" i="3"/>
  <c r="I60" i="3"/>
  <c r="I29" i="3"/>
  <c r="I21" i="3"/>
  <c r="I15" i="3"/>
  <c r="I14" i="3"/>
  <c r="I63" i="3"/>
  <c r="I22" i="3"/>
  <c r="H73" i="3"/>
  <c r="H66" i="3"/>
  <c r="I66" i="3" s="1"/>
  <c r="G74" i="3"/>
  <c r="I58" i="3"/>
  <c r="I11" i="2"/>
  <c r="G11" i="2"/>
  <c r="F11" i="2"/>
  <c r="I74" i="3" l="1"/>
  <c r="I61" i="3"/>
  <c r="I73" i="3"/>
  <c r="O67" i="2" l="1"/>
  <c r="M67" i="2"/>
  <c r="I67" i="2"/>
  <c r="G67" i="2"/>
  <c r="F67" i="2"/>
  <c r="O64" i="2"/>
  <c r="O14" i="2"/>
  <c r="O51" i="2"/>
  <c r="I51" i="2"/>
  <c r="G51" i="2"/>
  <c r="F51" i="2"/>
  <c r="M51" i="2"/>
  <c r="R51" i="2" l="1"/>
  <c r="R67" i="2"/>
  <c r="K67" i="2"/>
  <c r="K127" i="2"/>
  <c r="K164" i="2" s="1"/>
  <c r="K59" i="2"/>
  <c r="D110" i="1"/>
  <c r="D108" i="1" s="1"/>
  <c r="D92" i="1"/>
  <c r="D90" i="1" s="1"/>
  <c r="D114" i="1" s="1"/>
  <c r="D51" i="1"/>
  <c r="D46" i="1"/>
  <c r="D39" i="1"/>
  <c r="D36" i="1"/>
  <c r="D33" i="1"/>
  <c r="D27" i="1" l="1"/>
  <c r="C51" i="1"/>
  <c r="C39" i="1" l="1"/>
  <c r="C36" i="1"/>
  <c r="E134" i="1" l="1"/>
  <c r="C92" i="1" l="1"/>
  <c r="I151" i="2"/>
  <c r="G151" i="2"/>
  <c r="F151" i="2"/>
  <c r="F148" i="2"/>
  <c r="O148" i="2"/>
  <c r="M148" i="2"/>
  <c r="I148" i="2"/>
  <c r="G148" i="2"/>
  <c r="R148" i="2" l="1"/>
  <c r="K151" i="2"/>
  <c r="O55" i="2"/>
  <c r="R55" i="2" s="1"/>
  <c r="I55" i="2"/>
  <c r="G55" i="2"/>
  <c r="F55" i="2"/>
  <c r="K55" i="2" l="1"/>
  <c r="C46" i="1"/>
  <c r="C110" i="1"/>
  <c r="M93" i="2"/>
  <c r="M87" i="2"/>
  <c r="M86" i="2" l="1"/>
  <c r="K100" i="2"/>
  <c r="C108" i="1" l="1"/>
  <c r="O87" i="2"/>
  <c r="R87" i="2" s="1"/>
  <c r="E86" i="1"/>
  <c r="O93" i="2"/>
  <c r="R93" i="2" s="1"/>
  <c r="E48" i="1" l="1"/>
  <c r="O129" i="2"/>
  <c r="M129" i="2"/>
  <c r="I129" i="2"/>
  <c r="G129" i="2"/>
  <c r="F129" i="2"/>
  <c r="I93" i="2"/>
  <c r="G93" i="2"/>
  <c r="F93" i="2"/>
  <c r="G87" i="2"/>
  <c r="G86" i="2" s="1"/>
  <c r="F87" i="2"/>
  <c r="F86" i="2" s="1"/>
  <c r="K129" i="2" l="1"/>
  <c r="R129" i="2"/>
  <c r="G147" i="2"/>
  <c r="F147" i="2"/>
  <c r="K148" i="2"/>
  <c r="K142" i="2"/>
  <c r="K93" i="2" l="1"/>
  <c r="K87" i="2"/>
  <c r="K74" i="2"/>
  <c r="K51" i="2" l="1"/>
  <c r="E99" i="1" l="1"/>
  <c r="E11" i="1"/>
  <c r="O92" i="2" l="1"/>
  <c r="M92" i="2"/>
  <c r="K92" i="2"/>
  <c r="I92" i="2"/>
  <c r="G92" i="2"/>
  <c r="F92" i="2"/>
  <c r="R92" i="2" l="1"/>
  <c r="O99" i="2"/>
  <c r="R99" i="2" s="1"/>
  <c r="K99" i="2"/>
  <c r="I99" i="2"/>
  <c r="G99" i="2"/>
  <c r="E139" i="1" l="1"/>
  <c r="E138" i="1"/>
  <c r="E137" i="1"/>
  <c r="E136" i="1"/>
  <c r="E135" i="1"/>
  <c r="E132" i="1"/>
  <c r="E131" i="1"/>
  <c r="E130" i="1"/>
  <c r="E129" i="1"/>
  <c r="E128" i="1"/>
  <c r="E127" i="1"/>
  <c r="E126" i="1"/>
  <c r="E125" i="1"/>
  <c r="E123" i="1"/>
  <c r="E122" i="1"/>
  <c r="E121" i="1"/>
  <c r="E118" i="1"/>
  <c r="E117" i="1"/>
  <c r="E116" i="1"/>
  <c r="E93" i="1" l="1"/>
  <c r="E110" i="1" l="1"/>
  <c r="E92" i="1"/>
  <c r="E114" i="1"/>
  <c r="E88" i="1" l="1"/>
  <c r="E24" i="1"/>
  <c r="E51" i="1"/>
  <c r="E39" i="1"/>
  <c r="E36" i="1"/>
  <c r="E41" i="1"/>
  <c r="E33" i="1"/>
  <c r="E27" i="1"/>
  <c r="C9" i="1"/>
  <c r="C7" i="1" s="1"/>
  <c r="E10" i="1"/>
  <c r="E15" i="1"/>
  <c r="E16" i="1"/>
  <c r="E18" i="1"/>
  <c r="E14" i="1"/>
  <c r="O144" i="2"/>
  <c r="M144" i="2"/>
  <c r="K144" i="2"/>
  <c r="I144" i="2"/>
  <c r="G144" i="2"/>
  <c r="F144" i="2"/>
  <c r="M141" i="2"/>
  <c r="R141" i="2" s="1"/>
  <c r="K141" i="2"/>
  <c r="I141" i="2"/>
  <c r="G141" i="2"/>
  <c r="F141" i="2"/>
  <c r="G110" i="2"/>
  <c r="K110" i="2" s="1"/>
  <c r="K147" i="2"/>
  <c r="I147" i="2"/>
  <c r="O125" i="2"/>
  <c r="M125" i="2"/>
  <c r="K125" i="2"/>
  <c r="I125" i="2"/>
  <c r="G125" i="2"/>
  <c r="F125" i="2"/>
  <c r="O110" i="2"/>
  <c r="M110" i="2"/>
  <c r="F110" i="2"/>
  <c r="F98" i="2" s="1"/>
  <c r="K86" i="2"/>
  <c r="I86" i="2"/>
  <c r="F81" i="2"/>
  <c r="O74" i="2"/>
  <c r="R74" i="2" s="1"/>
  <c r="I74" i="2"/>
  <c r="M64" i="2"/>
  <c r="R64" i="2" s="1"/>
  <c r="I64" i="2"/>
  <c r="G64" i="2"/>
  <c r="F64" i="2"/>
  <c r="M14" i="2"/>
  <c r="R14" i="2" s="1"/>
  <c r="K14" i="2"/>
  <c r="I14" i="2"/>
  <c r="G14" i="2"/>
  <c r="F14" i="2"/>
  <c r="C23" i="1" l="1"/>
  <c r="R144" i="2"/>
  <c r="R125" i="2"/>
  <c r="R110" i="2"/>
  <c r="K64" i="2"/>
  <c r="M147" i="2"/>
  <c r="O147" i="2"/>
  <c r="K98" i="2"/>
  <c r="O86" i="2"/>
  <c r="R86" i="2" s="1"/>
  <c r="E9" i="1"/>
  <c r="F63" i="2"/>
  <c r="G63" i="2"/>
  <c r="F140" i="2"/>
  <c r="M140" i="2"/>
  <c r="F73" i="2"/>
  <c r="M98" i="2"/>
  <c r="I124" i="2"/>
  <c r="K73" i="2"/>
  <c r="I73" i="2"/>
  <c r="G73" i="2"/>
  <c r="I140" i="2"/>
  <c r="F124" i="2"/>
  <c r="I98" i="2"/>
  <c r="O73" i="2"/>
  <c r="G140" i="2"/>
  <c r="K140" i="2"/>
  <c r="O140" i="2"/>
  <c r="I50" i="2"/>
  <c r="M50" i="2"/>
  <c r="G50" i="2"/>
  <c r="K50" i="2"/>
  <c r="O50" i="2"/>
  <c r="F50" i="2"/>
  <c r="G124" i="2"/>
  <c r="M124" i="2"/>
  <c r="K124" i="2"/>
  <c r="O124" i="2"/>
  <c r="G98" i="2"/>
  <c r="M73" i="2"/>
  <c r="O98" i="2"/>
  <c r="F10" i="2"/>
  <c r="I10" i="2"/>
  <c r="M10" i="2"/>
  <c r="I63" i="2"/>
  <c r="M63" i="2"/>
  <c r="G10" i="2"/>
  <c r="K10" i="2"/>
  <c r="O10" i="2"/>
  <c r="K63" i="2"/>
  <c r="O63" i="2"/>
  <c r="R140" i="2" l="1"/>
  <c r="R147" i="2"/>
  <c r="R124" i="2"/>
  <c r="R10" i="2"/>
  <c r="R98" i="2"/>
  <c r="R50" i="2"/>
  <c r="R73" i="2"/>
  <c r="R63" i="2"/>
  <c r="E23" i="1"/>
  <c r="E69" i="1"/>
  <c r="O61" i="2"/>
  <c r="O9" i="2"/>
  <c r="E7" i="1"/>
  <c r="F61" i="2"/>
  <c r="O163" i="2" l="1"/>
  <c r="M61" i="2"/>
  <c r="R61" i="2" s="1"/>
  <c r="K61" i="2"/>
  <c r="I61" i="2"/>
  <c r="G61" i="2"/>
  <c r="M9" i="2"/>
  <c r="I9" i="2"/>
  <c r="M163" i="2" l="1"/>
  <c r="M165" i="2" s="1"/>
  <c r="R9" i="2"/>
  <c r="I163" i="2"/>
  <c r="F9" i="2"/>
  <c r="F163" i="2" s="1"/>
  <c r="K9" i="2"/>
  <c r="K163" i="2" s="1"/>
  <c r="G9" i="2"/>
  <c r="G163" i="2" s="1"/>
  <c r="G165" i="2" s="1"/>
  <c r="R163" i="2" l="1"/>
  <c r="E85" i="1"/>
  <c r="E103" i="1" l="1"/>
  <c r="E21" i="1"/>
  <c r="E113" i="1"/>
  <c r="E112" i="1"/>
  <c r="E108" i="1"/>
  <c r="E107" i="1"/>
  <c r="E94" i="1"/>
  <c r="E97" i="1"/>
  <c r="E98" i="1"/>
  <c r="E101" i="1"/>
  <c r="E104" i="1"/>
  <c r="E105" i="1"/>
  <c r="E106" i="1"/>
  <c r="E90" i="1"/>
  <c r="E54" i="1"/>
  <c r="E49" i="1"/>
  <c r="E19" i="1"/>
  <c r="E22" i="1"/>
</calcChain>
</file>

<file path=xl/sharedStrings.xml><?xml version="1.0" encoding="utf-8"?>
<sst xmlns="http://schemas.openxmlformats.org/spreadsheetml/2006/main" count="682" uniqueCount="363">
  <si>
    <t xml:space="preserve">Прочие - всего </t>
  </si>
  <si>
    <t>Код ОКВЭД,
 код ОКП</t>
  </si>
  <si>
    <t>Квартальный отчет предоставляется на 25 день после отчетного периода, годовой отчет - до 15 февраля</t>
  </si>
  <si>
    <t>Наименование показателя</t>
  </si>
  <si>
    <t>Ед. изм.</t>
  </si>
  <si>
    <t>Значение показателя за отчетный период</t>
  </si>
  <si>
    <t>Значение показателя за соответствующий период прошлого года</t>
  </si>
  <si>
    <t>Динамика, %</t>
  </si>
  <si>
    <t>Итоги развития МО</t>
  </si>
  <si>
    <t>млн.руб.</t>
  </si>
  <si>
    <t>в т.ч. по видам экономической деятельности:</t>
  </si>
  <si>
    <t>тыс. руб.</t>
  </si>
  <si>
    <t>%</t>
  </si>
  <si>
    <t>руб.</t>
  </si>
  <si>
    <t>Состояние основных видов экономической деятельности хозяйствующих субъектов МО</t>
  </si>
  <si>
    <t xml:space="preserve">Объем отгруженных товаров собственного производства, выполненных работ и услуг </t>
  </si>
  <si>
    <t>Объем работ</t>
  </si>
  <si>
    <t>Ввод в действие жилых домов</t>
  </si>
  <si>
    <t>кв. м</t>
  </si>
  <si>
    <t>Введено жилья на душу населения</t>
  </si>
  <si>
    <t>Грузооборот</t>
  </si>
  <si>
    <t>тыс.т/км</t>
  </si>
  <si>
    <t>Пассажирооборот</t>
  </si>
  <si>
    <t>тыс. пас/км</t>
  </si>
  <si>
    <t xml:space="preserve">Розничный товарооборот </t>
  </si>
  <si>
    <t xml:space="preserve">Индекс физического объема </t>
  </si>
  <si>
    <t>Малый бизнес</t>
  </si>
  <si>
    <t>Число действующих малых предприятий - всего</t>
  </si>
  <si>
    <t>ед.</t>
  </si>
  <si>
    <t>Уд. вес выручки предприятий малого бизнеса в выручке  в целом по МО</t>
  </si>
  <si>
    <t>бюджетные средства</t>
  </si>
  <si>
    <t>тыс.чел.</t>
  </si>
  <si>
    <t>тыс. чел.</t>
  </si>
  <si>
    <t>в том числе:</t>
  </si>
  <si>
    <t>Уровень регистрируемой безработицы(к трудоспособному населению)</t>
  </si>
  <si>
    <t>Выплаты социального характера</t>
  </si>
  <si>
    <t>Фонд оплаты труда</t>
  </si>
  <si>
    <t>Приложение 1</t>
  </si>
  <si>
    <t xml:space="preserve">Объем отгруженных товаров, выполненных работ и услуг </t>
  </si>
  <si>
    <t>Выручка от реализации товаров (работ, услуг)</t>
  </si>
  <si>
    <t>Себестоимость произведенной продукции</t>
  </si>
  <si>
    <t>Среднесписочная численность работающих (чел.)</t>
  </si>
  <si>
    <t>в том числе предприятия:</t>
  </si>
  <si>
    <t>из них:</t>
  </si>
  <si>
    <t>(органы местного самоуправления при необходимости дополняют номенклатуру продукции)</t>
  </si>
  <si>
    <t>Произведено в натуральном выражении</t>
  </si>
  <si>
    <t>Средняя цена за единицу продукции, тыс. рублей</t>
  </si>
  <si>
    <t xml:space="preserve">Объем произведенной продукции в сопоставимых ценах </t>
  </si>
  <si>
    <t>отчетный период</t>
  </si>
  <si>
    <t>соответст. период прошлого года</t>
  </si>
  <si>
    <t xml:space="preserve">за отчетный отчетный период             </t>
  </si>
  <si>
    <t>за соответствую-щий период прошлого года</t>
  </si>
  <si>
    <t>А</t>
  </si>
  <si>
    <t>Б</t>
  </si>
  <si>
    <t>ПРОМЫШЛЕННОЕ ПРОИЗВОДСТВО:</t>
  </si>
  <si>
    <t>тыс. м3</t>
  </si>
  <si>
    <t>т</t>
  </si>
  <si>
    <t>ИТОГО</t>
  </si>
  <si>
    <t>тыс. шт</t>
  </si>
  <si>
    <t>тыс.пар</t>
  </si>
  <si>
    <t>тыс.шт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</si>
  <si>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</si>
  <si>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</si>
  <si>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</si>
  <si>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</si>
  <si>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</si>
  <si>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</si>
  <si>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Прочие</t>
  </si>
  <si>
    <t>Управление</t>
  </si>
  <si>
    <t>Объем отгруженных товаров собственного производства, выполненных работ и услуг</t>
  </si>
  <si>
    <t>(млн. руб.)</t>
  </si>
  <si>
    <t>х</t>
  </si>
  <si>
    <t>Наименование элементарного вида деятельности,
 товара-представителя</t>
  </si>
  <si>
    <t>7=итог гр.5/
итог гр.6*100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</si>
  <si>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</si>
  <si>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Добыча полезных ископаемых (В):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</si>
  <si>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</si>
  <si>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</si>
  <si>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 xml:space="preserve">Объем инвестиций  -  всего, в т.ч.: </t>
  </si>
  <si>
    <t>Обрабатывающие производства, всего (С)</t>
  </si>
  <si>
    <t xml:space="preserve"> Обрабатывающие производства (Раздел С )</t>
  </si>
  <si>
    <t xml:space="preserve">Обеспечение электрической энергией, газом и паром; кондиционирование воздуха (раздел D)
</t>
  </si>
  <si>
    <t>Яйца без скорлупы и желтки яичные, свежие или консервированные; яйца в скорлупе консервированные или вареные; белок яичный,т</t>
  </si>
  <si>
    <t>Корма животные сухие,т</t>
  </si>
  <si>
    <t>Комбикорма,т</t>
  </si>
  <si>
    <t>Корма для сельскохозяйственных животных прочие,т</t>
  </si>
  <si>
    <t>Концентраты и смеси кормовые,т</t>
  </si>
  <si>
    <t>Производство напитков</t>
  </si>
  <si>
    <t>Водка,Тысяча декалитров</t>
  </si>
  <si>
    <t>Пиво, кроме отходов пивоварения,Тысяча декалитров</t>
  </si>
  <si>
    <t>Солод,т</t>
  </si>
  <si>
    <t>Воды минеральные природные питьевые,Тысяча полулитров</t>
  </si>
  <si>
    <t>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веществ,Тысяча полулитров</t>
  </si>
  <si>
    <t>Напитки безалкогольные с соком, морсовые, на растительном сырье, на ароматизаторах, специального назначения и на минеральной воде,Тысяча декалитров</t>
  </si>
  <si>
    <t>Производство текстильных изделий</t>
  </si>
  <si>
    <t>Белье постельное,тыс.шт.</t>
  </si>
  <si>
    <t>Одеяла стеганые,тыс.шт.</t>
  </si>
  <si>
    <t>Производство одежды</t>
  </si>
  <si>
    <t>Комплекты, костюмы, куртки (пиджаки) и блейзеры мужские производственные и профессиональные,тыс.шт.</t>
  </si>
  <si>
    <t>Куртки мужские или для мальчиков из текстильных материалов, кроме трикотажных или вязаных,тыс.шт.</t>
  </si>
  <si>
    <t>Костюмы и комплекты мужские или для мальчиков из текстильных материалов, кроме трикотажных или вязаных,тыс.шт.</t>
  </si>
  <si>
    <t>Комбинезоны с нагрудниками и лямками мужские или для мальчиков из текстильных материалов, кроме трикотажных или вязаных,тыс.шт.</t>
  </si>
  <si>
    <t>Куртки женские или для девочек из текстильных материалов, кроме трикотажных или вязаных,тыс.шт.</t>
  </si>
  <si>
    <t>Платья женские или для девочек из текстильных материалов, кроме трикотажных или вязаных,тыс.шт.</t>
  </si>
  <si>
    <t>Рубашки мужские или для мальчиков из текстильных материалов, кроме трикотажных или вязаных,тыс.шт.</t>
  </si>
  <si>
    <t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вол,тыс.шт.</t>
  </si>
  <si>
    <t>Уборы головные прочие, кроме головных уборов из резины или пластмасс, защитных головных уборов и головных уборов из асбеста; ленты для шляп, подкладки, чехлы, шляпные каркасы, шляпные основы, козырьки и подбородочные ремни для головных уборов,тыс.шт.</t>
  </si>
  <si>
    <t>Изделия чулочно-носочные трикотажные или вязаные,тыс.пар</t>
  </si>
  <si>
    <t>Производство кожи и изделий из кожи</t>
  </si>
  <si>
    <t>Обувь на подошве и с верхом из резины или пластмассы, кроме водонепроницаемой или спортивной обуви,тыс.пар</t>
  </si>
  <si>
    <t>Обувь с верхом из кожи, кроме спортивной обуви, обуви с защитным металлическим подноском и различной специальной обуви,тыс.пар</t>
  </si>
  <si>
    <t>Обувь с верхом из текстильных материалов, кроме спортивной обуви,тыс.пар</t>
  </si>
  <si>
    <t>Обувь спортивная,тыс.пар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</si>
  <si>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</si>
  <si>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Пиломатериалы хвойных пород,Тыс. куб.м</t>
  </si>
  <si>
    <t>10.89.12</t>
  </si>
  <si>
    <t>10.91.10.120</t>
  </si>
  <si>
    <t>10.91.10.180</t>
  </si>
  <si>
    <t>10.91.10.290</t>
  </si>
  <si>
    <t>10.91.10.230</t>
  </si>
  <si>
    <t>11</t>
  </si>
  <si>
    <t>11.01.10.111</t>
  </si>
  <si>
    <t>11.05.10</t>
  </si>
  <si>
    <t>11.06.10</t>
  </si>
  <si>
    <t>11.07.11.110</t>
  </si>
  <si>
    <t>11.07.11.120</t>
  </si>
  <si>
    <t>11.07.19.130</t>
  </si>
  <si>
    <t>13</t>
  </si>
  <si>
    <t>13.92.12</t>
  </si>
  <si>
    <t>13.92.24.110</t>
  </si>
  <si>
    <t>14</t>
  </si>
  <si>
    <t>14.12.11</t>
  </si>
  <si>
    <t>14.13.21.120</t>
  </si>
  <si>
    <t>14.13.22</t>
  </si>
  <si>
    <t>14.13.24.120</t>
  </si>
  <si>
    <t>14.13.31.120</t>
  </si>
  <si>
    <t>14.13.34.110</t>
  </si>
  <si>
    <t>14.14.21</t>
  </si>
  <si>
    <t>14.19.42</t>
  </si>
  <si>
    <t>14.19.43</t>
  </si>
  <si>
    <t>14.31</t>
  </si>
  <si>
    <t>15</t>
  </si>
  <si>
    <t>15.20.12</t>
  </si>
  <si>
    <t>15.20.13</t>
  </si>
  <si>
    <t>15.20.14</t>
  </si>
  <si>
    <t>15.20.2</t>
  </si>
  <si>
    <t>16</t>
  </si>
  <si>
    <t>16.10.10.110</t>
  </si>
  <si>
    <t>Тыс. декалитров</t>
  </si>
  <si>
    <t>Тысяча полулитров</t>
  </si>
  <si>
    <t>Лесоводство и лесозаготовки - всего</t>
  </si>
  <si>
    <t>Обработка древесины и производство изделий из дерева и пробки, кроме мебели - всего</t>
  </si>
  <si>
    <t>Водоснабжение; водоотведение, организация сбора и утилизации отходов, деятельность по ликвидации загрязнений  (Е):</t>
  </si>
  <si>
    <t xml:space="preserve">Сельское, лесное хозяйство, охота, рыбаловство и рыбоводство, в том числе </t>
  </si>
  <si>
    <t>Лесоводство и лесозаготовки</t>
  </si>
  <si>
    <t>Рыболовство и рыбоводство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</si>
  <si>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</si>
  <si>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</si>
  <si>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Торговля оптовая и розничная; ремонт автотранспортных средств и мотоциклов</t>
  </si>
  <si>
    <t>Индекс промышленного производства</t>
  </si>
  <si>
    <t>№ п/п</t>
  </si>
  <si>
    <t>Наименование 
городского (сельского) поселения и населенного пункта на территории которого предполагается реализация инвестпроекта</t>
  </si>
  <si>
    <t>Наименование проекта</t>
  </si>
  <si>
    <t>Объем инвестиций, млн.руб.</t>
  </si>
  <si>
    <t>Мощность проекта
 ( в соответст. единицах)</t>
  </si>
  <si>
    <t>Текущее состояние проекта</t>
  </si>
  <si>
    <t>Инициатор проекта, контакты  (ФИО., занимаемая должность, тел., e-mail)</t>
  </si>
  <si>
    <t>Приложение 2</t>
  </si>
  <si>
    <t>Приложение 3</t>
  </si>
  <si>
    <t>Индекс промышленного производства,  (%) **</t>
  </si>
  <si>
    <t>Растениеводство и животноводство, охота и предоставление соответствующих услуг в этих областях - всего</t>
  </si>
  <si>
    <t>Сельское, лесное хозяйство, охота, рыбаловство и рыбоводство (А) - всего, 
в том числе:</t>
  </si>
  <si>
    <t>ВСЕГО по муниципальному образованию</t>
  </si>
  <si>
    <t>Торговля оптовая и розничная; ремонт автотранспортных средств и мотоциклов (G) - всего</t>
  </si>
  <si>
    <t>Транспортировка и хранение (H)- всего</t>
  </si>
  <si>
    <t>Деятельность в области информации и связи (J) - всего</t>
  </si>
  <si>
    <t>Растениеводство и животноводство, охота и предоставление соответствующих услуг в этих областях</t>
  </si>
  <si>
    <t xml:space="preserve">Торговля оптовая и розничная; ремонт автотранспортных средств и мотоциклов </t>
  </si>
  <si>
    <t xml:space="preserve">Промышленное производство: </t>
  </si>
  <si>
    <t>Сельское, лесное хозяйство, охота, рыбаловство и рыбоводство:</t>
  </si>
  <si>
    <t>Строительство:</t>
  </si>
  <si>
    <t>Транспортировка и хранение:</t>
  </si>
  <si>
    <t>Объем отгруженных товаров собственного производства, выполненных работ и услуг (В+C+D+E)</t>
  </si>
  <si>
    <t>Индекс промышленного производства(В+C+D)</t>
  </si>
  <si>
    <t xml:space="preserve">Выручка от реализации продукции, работ, услуг
(в действующих ценах) - всего, </t>
  </si>
  <si>
    <t>Итого по промышленному производству (сумма разделов В+C+D)</t>
  </si>
  <si>
    <t>зерно</t>
  </si>
  <si>
    <t>картофель</t>
  </si>
  <si>
    <t>овощи</t>
  </si>
  <si>
    <t>мясо</t>
  </si>
  <si>
    <t>молоко</t>
  </si>
  <si>
    <t>яйца</t>
  </si>
  <si>
    <t>Растениеводство и животноводство</t>
  </si>
  <si>
    <t>*) сопоставимая цена 1994 г. (рублей за единицу продукции)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</si>
  <si>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 </t>
  </si>
  <si>
    <t xml:space="preserve">Примечание: 
1. Таблица заполняется по крупным и средним организациям и предприятиям малого бизнеса, занимающих наибольший удельный вес в объеме отгруженных товаров, выполненных работ и услуг. 
2. В данной форме органы местного самоуправления показывают информацию по предприятиям в разрезе ОКВЭД2, которые имеются в муниципальном образовании, остальные ОКВЭДы удаляются. </t>
  </si>
  <si>
    <t>Транспортировка и хранение</t>
  </si>
  <si>
    <t>Строительство</t>
  </si>
  <si>
    <t>Деятельность в области информации и связи</t>
  </si>
  <si>
    <t xml:space="preserve">Расчет индекса производства по элементарному виду деятельности по Иркутской области ,
 исходя из динамики по товарам-представителям 
 </t>
  </si>
  <si>
    <t>Тысяча гигакалорий</t>
  </si>
  <si>
    <t>Энергия тепловая, отпущенная котельными,Тысяча гигакалорий</t>
  </si>
  <si>
    <t>35.30.11.120</t>
  </si>
  <si>
    <t>Лесоматериалы хвойных пород,Тысяча плотных кубических метров</t>
  </si>
  <si>
    <t>02.20.11</t>
  </si>
  <si>
    <t>Лесоматериалы лиственных пород, за исключением тропических пород,Тысяча плотных кубических метров</t>
  </si>
  <si>
    <t>02.20.12</t>
  </si>
  <si>
    <t>Древесина топливная,Тысяча плотных кубических метров</t>
  </si>
  <si>
    <t>02.20.14</t>
  </si>
  <si>
    <t>тыс плотн м3</t>
  </si>
  <si>
    <t>**) индексы производства расчитывается по разделам видов экономической деятельности и в целом по промышленности, растениеводству и животноводству, лесоводству и лесозаготовкам</t>
  </si>
  <si>
    <t>ООО "Хромовское"</t>
  </si>
  <si>
    <t>ООО "Акас"</t>
  </si>
  <si>
    <t>ООО "ЛТК"</t>
  </si>
  <si>
    <t>Качугское РайПО</t>
  </si>
  <si>
    <t>ООО "КТД"</t>
  </si>
  <si>
    <t>Качугский филиал ОАО "ДСИО"</t>
  </si>
  <si>
    <t>ООО "Газета "Ленская правда"</t>
  </si>
  <si>
    <t>Усть-Ордынский почтамт</t>
  </si>
  <si>
    <t>Качугское ООиР</t>
  </si>
  <si>
    <t>в том числе малый бизнес - всего</t>
  </si>
  <si>
    <t>КФХ Иванов Н.П.</t>
  </si>
  <si>
    <t>КФХ Кожевников В.В.</t>
  </si>
  <si>
    <t>КФХ Кошкин С.Л.</t>
  </si>
  <si>
    <t>КФХ Липатова Ю.А.</t>
  </si>
  <si>
    <t>КФХ Пушкарский А.С.</t>
  </si>
  <si>
    <t>КФХ Соколов С.И.</t>
  </si>
  <si>
    <t>КФХ Ступин С.И.</t>
  </si>
  <si>
    <t>КФХ Хмелев В.П.</t>
  </si>
  <si>
    <t>КФХ Черкашин М.О.</t>
  </si>
  <si>
    <t>КФХ Черкашин О.В.</t>
  </si>
  <si>
    <t>ИП Колганова О.В.</t>
  </si>
  <si>
    <t>ИП Шелкеев А.В.</t>
  </si>
  <si>
    <t>ИП Кистенева Г.М.</t>
  </si>
  <si>
    <t>ИП Слесарев С.Г.</t>
  </si>
  <si>
    <t>ИП Тетерина Е.В.</t>
  </si>
  <si>
    <t>ООО "Виктория"</t>
  </si>
  <si>
    <t>ООО "СибРозлив"</t>
  </si>
  <si>
    <t>ООО "Иркутский торговый дом"</t>
  </si>
  <si>
    <t>ИП Мамаев А.Ф.</t>
  </si>
  <si>
    <t>-</t>
  </si>
  <si>
    <t>Деятельность в области культуры, спорта, организации досуга и развлечений, в том числе:</t>
  </si>
  <si>
    <t>Культура и искусство</t>
  </si>
  <si>
    <t>КФХ Павлов О.С.</t>
  </si>
  <si>
    <t>тел. 8(39540) 31-7-94</t>
  </si>
  <si>
    <t>КФХ Дмитриев А.И.</t>
  </si>
  <si>
    <t>КФХ Кошкин И.С.</t>
  </si>
  <si>
    <t>КФХ Кузнецова Е.С.</t>
  </si>
  <si>
    <t>КФХ Чемякин В.Г.</t>
  </si>
  <si>
    <t>КФХ Белоусова Н.Н.</t>
  </si>
  <si>
    <t>КФХ Соколов И.С.</t>
  </si>
  <si>
    <t>\</t>
  </si>
  <si>
    <t>КФХ Идрисов Ф.Ф.</t>
  </si>
  <si>
    <t>КФХ Щапов Р.В.</t>
  </si>
  <si>
    <t>Количество создаваемых новых рабочих мест, ед.\Фактически работает</t>
  </si>
  <si>
    <t>Производство пищевых продуктов-всего</t>
  </si>
  <si>
    <t>ПО "Хлеб"</t>
  </si>
  <si>
    <t>ИП Тюрюмин А.С.</t>
  </si>
  <si>
    <t>ИП Глава КФХ Ступин С.И.</t>
  </si>
  <si>
    <t>ООО "Кристалл"</t>
  </si>
  <si>
    <t>ИП Серебряков В.Г.</t>
  </si>
  <si>
    <t>ИП Чех Е.Г.</t>
  </si>
  <si>
    <t>Валовый выпуск продукции  в сельхозорганизация и КФХ</t>
  </si>
  <si>
    <t>Индекс производства продукции в сельхозорганизациях и КФХ</t>
  </si>
  <si>
    <t>в том числе малый бизнес:</t>
  </si>
  <si>
    <t>ИП Сокольников А.А.</t>
  </si>
  <si>
    <t>ИП Рубашев А.В.</t>
  </si>
  <si>
    <t>ИП Мешков С.Д.</t>
  </si>
  <si>
    <t>СПССК Труженик"</t>
  </si>
  <si>
    <t xml:space="preserve">Сельское, лесное хозяйство, охота, рыболовство и рыбоводство, в том числе </t>
  </si>
  <si>
    <t>ИП Матвеева Ю.Б.</t>
  </si>
  <si>
    <t>ИП Черкашина Л.Г.</t>
  </si>
  <si>
    <t>ИП Гуслова О.И.</t>
  </si>
  <si>
    <t>Культура (МЦДК, МЦБ, 13 КИК)</t>
  </si>
  <si>
    <t>СССПК "Труд"</t>
  </si>
  <si>
    <t>Водоснабжение; водоотоведение, организация сбора и утилизации отходов, деятельность по ликвидации загрязнений (E):</t>
  </si>
  <si>
    <t>Исполнитель: Андреева Н.А.</t>
  </si>
  <si>
    <t>МУП "Качугское муниципальное хозяйство"</t>
  </si>
  <si>
    <t>Качугский районный отдел филиала ФГБУ "Россельхозцентр по Иркутской области"</t>
  </si>
  <si>
    <t>Прочие (Лесничество, Качугская СББЖ, МКУ в культуре, МКУ в образовании, ЕДДС и др.)</t>
  </si>
  <si>
    <t>ООО "Ориентинструмент"</t>
  </si>
  <si>
    <t>Прочие субъекты МСП в сфере торговли 25</t>
  </si>
  <si>
    <t>КФХ Кудрявцев В.А.</t>
  </si>
  <si>
    <t>КФХ Попович Д.Ю.</t>
  </si>
  <si>
    <t>КФХ Пороева М.А.</t>
  </si>
  <si>
    <t>КФХ Чижова Л.Н.</t>
  </si>
  <si>
    <t>КФХ Хангорова М.Э.</t>
  </si>
  <si>
    <t>КФХ Бабуева Е.Э.</t>
  </si>
  <si>
    <t>СССПК "Труженик"</t>
  </si>
  <si>
    <t>КФХ Попова С.Н.</t>
  </si>
  <si>
    <t>КФХ Горбунов А.Г.</t>
  </si>
  <si>
    <t>Государственное управление и обеспечение военной безопасности; обязательное социальное обеспечение (ОМС района, ОМС поселений, рос.гвардия, МВД)</t>
  </si>
  <si>
    <t xml:space="preserve">ИП Глызина Л.А. </t>
  </si>
  <si>
    <t>ИП Филиппова Ф.В.</t>
  </si>
  <si>
    <t>ИП Зуева О.О.</t>
  </si>
  <si>
    <t>прочие субъекты МСП, оказывающие услуги населению 15</t>
  </si>
  <si>
    <t>ИП Колганов А.М.</t>
  </si>
  <si>
    <t>ООО "Качугское ПОХ"</t>
  </si>
  <si>
    <t>Образование (школы и детские сады, доп.образование - РОНО 4, доп.образование - культура 2,  БАТТ)</t>
  </si>
  <si>
    <t xml:space="preserve"> Добыча полезных ископаемых (Раздел В)</t>
  </si>
  <si>
    <t>Добыча прочих полезных ископаемых</t>
  </si>
  <si>
    <t>Гравий</t>
  </si>
  <si>
    <t>Щебень</t>
  </si>
  <si>
    <t>Смеси песчано-гравийные</t>
  </si>
  <si>
    <t>Изделия хлебобулочные недлительного хранения,т</t>
  </si>
  <si>
    <t>Изделия мучные кондитерские, торты и пирожные недлительного хранения,т</t>
  </si>
  <si>
    <t>Полуфабрикаты мясные, мясосодержащие, охлажденные, замороженные,т</t>
  </si>
  <si>
    <t>Производство пищевых продуктов</t>
  </si>
  <si>
    <t>Продукты готовые из рыбы прочие, не включенные в другие группировки,т</t>
  </si>
  <si>
    <t>А.В. Добротина</t>
  </si>
  <si>
    <t>ООО "Качугская лиственичная компания"</t>
  </si>
  <si>
    <t>ИП Сокольников А.М.</t>
  </si>
  <si>
    <t>ИП Черкашина Т.Н.</t>
  </si>
  <si>
    <t>КФХ Копылов Е.А.</t>
  </si>
  <si>
    <t>ИП Сазонова Н.В.</t>
  </si>
  <si>
    <t>Здравоохранение и предоставление социальных услуг (Качугская РБ, опека, Васильева, ЦЗН, ПФР)</t>
  </si>
  <si>
    <t>КФХ Немарова М.Ю.</t>
  </si>
  <si>
    <t>ИП Глава КФХ Пороева М.А.</t>
  </si>
  <si>
    <t>ООО "Качугское АТП"</t>
  </si>
  <si>
    <t>ООО "Аптека №11"</t>
  </si>
  <si>
    <t>ИП Тюрюмина Н.Ю.</t>
  </si>
  <si>
    <t>ИП Ступина Т.Л.</t>
  </si>
  <si>
    <t>ИП Попова А.О.</t>
  </si>
  <si>
    <t>КФХ Жданов Р.Б.</t>
  </si>
  <si>
    <t>КФХ Иванов К.П.</t>
  </si>
  <si>
    <t>КФХ Шаманов А.М.</t>
  </si>
  <si>
    <t>Заместитель мэра Качугского муниципального округа</t>
  </si>
  <si>
    <t>КФХ Копылов А.Е.</t>
  </si>
  <si>
    <t>КФХ Идрисов Р.Ф.</t>
  </si>
  <si>
    <t>Деятельность гостиниц и предприятий общественного питания (I)- всего</t>
  </si>
  <si>
    <t>Деятельность гостиниц и предприятий общественного питания</t>
  </si>
  <si>
    <t>значение показателя за отчетный период</t>
  </si>
  <si>
    <t>значение показателя за соответствующий период прошлого года</t>
  </si>
  <si>
    <t>значение показателя за соответствующий период</t>
  </si>
  <si>
    <t>Наименование населенного пункта, где осуществляет деятельность предприятие</t>
  </si>
  <si>
    <t>Фонд начисленной заработной платы по полному кругу организаций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</si>
  <si>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</si>
  <si>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>Прибыль прибыльных предприятий (с учетом предприятий малого бизнеса)</t>
  </si>
  <si>
    <t xml:space="preserve"> в том числе по видам экономической деятельности:</t>
  </si>
  <si>
    <t>Количество индивидуальных предпринимателей - всего</t>
  </si>
  <si>
    <t>Демография, трудовые ресурсы и уровень жизни</t>
  </si>
  <si>
    <t>Численность постоянного населения - всего</t>
  </si>
  <si>
    <t>Среднесписочная численность работников (без внешних совместителей) по полному кругу организаций,</t>
  </si>
  <si>
    <t>Среднемесячная начисленная заработная плата (без выплат социального характера) по полному кругу организаций,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</si>
  <si>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</si>
  <si>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>из них по категориям работников:</t>
  </si>
  <si>
    <t>Диагностика состояния экономики и предприятий в Качугском муниципальном округе</t>
  </si>
  <si>
    <t>рп. Качуг</t>
  </si>
  <si>
    <t>Прибыль до налогообложения</t>
  </si>
  <si>
    <t>с.Залог</t>
  </si>
  <si>
    <t>с.Манзурка</t>
  </si>
  <si>
    <t>д.Краснояр</t>
  </si>
  <si>
    <t>с.Заречное</t>
  </si>
  <si>
    <t>Среднемесячная заработная плата (руб.)</t>
  </si>
  <si>
    <t>Аналитический отчет о социально-экономической ситуации в Качугском муниципальном округе        за 1 квартал 2026 года</t>
  </si>
  <si>
    <t xml:space="preserve">за 1 квартал 2026 года </t>
  </si>
  <si>
    <t>с. Бирюлька</t>
  </si>
  <si>
    <t>ИП Козлов Е.П.</t>
  </si>
  <si>
    <t>с. Никилей</t>
  </si>
  <si>
    <t>с. Манзурка</t>
  </si>
  <si>
    <t>ИП Рубашов А.В.</t>
  </si>
  <si>
    <t>с. Залог</t>
  </si>
  <si>
    <t>Сводный перечень инвестиционных проектов, реализация которых предполагается на территории
    Качугского муниципального округа в 1 квартале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</si>
</sst>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"/>
    <numFmt numFmtId="168" formatCode="#,##0.000"/>
    <numFmt numFmtId="169" formatCode="#,##0.0"/>
  </numFmts>
  <fonts count="52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Arial Cyr"/>
      <family val="2"/>
      <charset val="204"/>
    </font>
    <font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</font>
    <font>
      <sz val="10"/>
      <name val="Times New Roman"/>
      <family val="1"/>
    </font>
    <font>
      <sz val="12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6"/>
      <name val="Arial Cyr"/>
      <family val="2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</font>
    <font>
      <b/>
      <sz val="16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  <font>
      <b/>
      <sz val="20"/>
      <name val="Times New Roman"/>
      <family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24"/>
      <name val="Arial"/>
      <family val="2"/>
      <charset val="204"/>
    </font>
    <font>
      <b/>
      <sz val="2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Arial Cyr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2"/>
      <color rgb="FFFF0000"/>
      <name val="Times New Roman"/>
      <family val="1"/>
      <charset val="204"/>
    </font>
    <font>
      <sz val="11"/>
      <color indexed="8"/>
      <name val="Calibri"/>
      <family val="2"/>
    </font>
    <font>
      <sz val="12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color rgb="FFED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0"/>
  </cellStyleXfs>
  <cellXfs count="510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166" fontId="17" fillId="0" borderId="0" xfId="0" applyNumberFormat="1" applyFont="1" applyAlignment="1">
      <alignment horizontal="left" vertical="center" wrapText="1"/>
    </xf>
    <xf numFmtId="49" fontId="0" fillId="0" borderId="0" xfId="0" applyNumberFormat="1"/>
    <xf numFmtId="0" fontId="15" fillId="0" borderId="0" xfId="0" applyFont="1"/>
    <xf numFmtId="0" fontId="23" fillId="0" borderId="11" xfId="0" applyFont="1" applyBorder="1" applyAlignment="1">
      <alignment wrapText="1"/>
    </xf>
    <xf numFmtId="49" fontId="23" fillId="0" borderId="11" xfId="0" applyNumberFormat="1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0" fontId="24" fillId="0" borderId="11" xfId="0" applyFont="1" applyBorder="1"/>
    <xf numFmtId="0" fontId="21" fillId="0" borderId="11" xfId="0" applyFont="1" applyBorder="1" applyAlignment="1">
      <alignment wrapText="1"/>
    </xf>
    <xf numFmtId="49" fontId="21" fillId="0" borderId="11" xfId="0" applyNumberFormat="1" applyFont="1" applyBorder="1" applyAlignment="1">
      <alignment horizont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1" fillId="0" borderId="11" xfId="0" applyFont="1" applyBorder="1" applyAlignment="1">
      <alignment vertical="center" wrapText="1"/>
    </xf>
    <xf numFmtId="0" fontId="19" fillId="0" borderId="0" xfId="0" applyFont="1"/>
    <xf numFmtId="49" fontId="19" fillId="0" borderId="0" xfId="0" applyNumberFormat="1" applyFont="1"/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left" vertical="center" wrapText="1"/>
    </xf>
    <xf numFmtId="0" fontId="24" fillId="2" borderId="11" xfId="0" applyFont="1" applyFill="1" applyBorder="1"/>
    <xf numFmtId="49" fontId="21" fillId="0" borderId="13" xfId="0" applyNumberFormat="1" applyFont="1" applyBorder="1" applyAlignment="1">
      <alignment horizontal="center" wrapText="1"/>
    </xf>
    <xf numFmtId="0" fontId="22" fillId="0" borderId="13" xfId="0" applyFont="1" applyBorder="1" applyAlignment="1">
      <alignment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21" fillId="3" borderId="11" xfId="0" applyFont="1" applyFill="1" applyBorder="1" applyAlignment="1">
      <alignment horizontal="center" wrapText="1"/>
    </xf>
    <xf numFmtId="0" fontId="30" fillId="0" borderId="0" xfId="0" applyFont="1" applyAlignment="1">
      <alignment horizontal="righ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3" fillId="0" borderId="11" xfId="0" applyFont="1" applyBorder="1" applyAlignment="1">
      <alignment horizontal="center"/>
    </xf>
    <xf numFmtId="0" fontId="23" fillId="3" borderId="11" xfId="0" applyFont="1" applyFill="1" applyBorder="1" applyAlignment="1">
      <alignment horizontal="center" wrapText="1"/>
    </xf>
    <xf numFmtId="0" fontId="34" fillId="0" borderId="11" xfId="0" applyFont="1" applyBorder="1"/>
    <xf numFmtId="0" fontId="34" fillId="2" borderId="11" xfId="0" applyFont="1" applyFill="1" applyBorder="1"/>
    <xf numFmtId="0" fontId="35" fillId="0" borderId="0" xfId="0" applyFont="1"/>
    <xf numFmtId="0" fontId="28" fillId="3" borderId="0" xfId="0" applyFont="1" applyFill="1"/>
    <xf numFmtId="0" fontId="28" fillId="0" borderId="0" xfId="0" applyFont="1"/>
    <xf numFmtId="0" fontId="28" fillId="0" borderId="0" xfId="0" applyFont="1" applyAlignment="1">
      <alignment vertical="center"/>
    </xf>
    <xf numFmtId="0" fontId="28" fillId="3" borderId="0" xfId="0" applyFont="1" applyFill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 wrapText="1"/>
    </xf>
    <xf numFmtId="0" fontId="31" fillId="4" borderId="6" xfId="0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49" fontId="21" fillId="0" borderId="11" xfId="0" applyNumberFormat="1" applyFont="1" applyBorder="1" applyAlignment="1">
      <alignment wrapText="1"/>
    </xf>
    <xf numFmtId="0" fontId="21" fillId="0" borderId="11" xfId="0" applyFont="1" applyBorder="1"/>
    <xf numFmtId="0" fontId="21" fillId="2" borderId="11" xfId="0" applyFont="1" applyFill="1" applyBorder="1"/>
    <xf numFmtId="0" fontId="24" fillId="0" borderId="0" xfId="0" applyFont="1"/>
    <xf numFmtId="0" fontId="21" fillId="0" borderId="0" xfId="0" applyFont="1"/>
    <xf numFmtId="49" fontId="21" fillId="0" borderId="0" xfId="0" applyNumberFormat="1" applyFont="1"/>
    <xf numFmtId="0" fontId="21" fillId="0" borderId="0" xfId="0" applyFont="1" applyAlignment="1">
      <alignment horizontal="right" vertical="center" wrapText="1"/>
    </xf>
    <xf numFmtId="0" fontId="32" fillId="3" borderId="0" xfId="0" applyFont="1" applyFill="1" applyAlignment="1">
      <alignment horizontal="right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vertical="center"/>
    </xf>
    <xf numFmtId="0" fontId="28" fillId="5" borderId="0" xfId="0" applyFont="1" applyFill="1"/>
    <xf numFmtId="0" fontId="21" fillId="5" borderId="16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/>
    </xf>
    <xf numFmtId="49" fontId="21" fillId="4" borderId="16" xfId="0" applyNumberFormat="1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vertical="center"/>
    </xf>
    <xf numFmtId="0" fontId="28" fillId="0" borderId="19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32" fillId="0" borderId="16" xfId="0" applyFont="1" applyBorder="1" applyAlignment="1">
      <alignment vertical="top" wrapText="1"/>
    </xf>
    <xf numFmtId="0" fontId="32" fillId="0" borderId="16" xfId="0" applyFont="1" applyBorder="1" applyAlignment="1">
      <alignment horizontal="center" vertical="top" wrapText="1"/>
    </xf>
    <xf numFmtId="0" fontId="21" fillId="6" borderId="11" xfId="0" applyFont="1" applyFill="1" applyBorder="1" applyAlignment="1">
      <alignment wrapText="1"/>
    </xf>
    <xf numFmtId="0" fontId="21" fillId="6" borderId="11" xfId="0" applyFont="1" applyFill="1" applyBorder="1" applyAlignment="1">
      <alignment vertical="center" wrapText="1"/>
    </xf>
    <xf numFmtId="0" fontId="32" fillId="0" borderId="16" xfId="0" applyFont="1" applyBorder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13" fillId="3" borderId="0" xfId="0" applyFont="1" applyFill="1" applyAlignment="1">
      <alignment vertical="top" wrapText="1"/>
    </xf>
    <xf numFmtId="0" fontId="15" fillId="0" borderId="0" xfId="0" applyFont="1" applyAlignment="1">
      <alignment horizontal="left" vertical="center" wrapText="1"/>
    </xf>
    <xf numFmtId="0" fontId="28" fillId="3" borderId="0" xfId="0" applyFont="1" applyFill="1" applyAlignment="1">
      <alignment vertical="top" wrapText="1"/>
    </xf>
    <xf numFmtId="0" fontId="21" fillId="6" borderId="10" xfId="0" applyFont="1" applyFill="1" applyBorder="1" applyAlignment="1">
      <alignment vertical="center" wrapText="1"/>
    </xf>
    <xf numFmtId="2" fontId="24" fillId="0" borderId="11" xfId="0" applyNumberFormat="1" applyFont="1" applyBorder="1"/>
    <xf numFmtId="2" fontId="24" fillId="0" borderId="13" xfId="0" applyNumberFormat="1" applyFont="1" applyBorder="1"/>
    <xf numFmtId="0" fontId="32" fillId="0" borderId="4" xfId="0" applyFont="1" applyBorder="1" applyAlignment="1">
      <alignment horizontal="right" vertical="center" wrapText="1"/>
    </xf>
    <xf numFmtId="0" fontId="32" fillId="0" borderId="3" xfId="0" applyFont="1" applyBorder="1" applyAlignment="1">
      <alignment horizontal="right" vertical="center" wrapText="1"/>
    </xf>
    <xf numFmtId="0" fontId="32" fillId="0" borderId="9" xfId="0" applyFont="1" applyBorder="1" applyAlignment="1">
      <alignment horizontal="right" vertical="center" wrapText="1"/>
    </xf>
    <xf numFmtId="167" fontId="32" fillId="0" borderId="6" xfId="0" applyNumberFormat="1" applyFont="1" applyBorder="1" applyAlignment="1">
      <alignment horizontal="right" vertical="center" wrapText="1"/>
    </xf>
    <xf numFmtId="167" fontId="32" fillId="0" borderId="3" xfId="0" applyNumberFormat="1" applyFont="1" applyBorder="1" applyAlignment="1">
      <alignment horizontal="right" vertical="center" wrapText="1"/>
    </xf>
    <xf numFmtId="167" fontId="32" fillId="0" borderId="4" xfId="0" applyNumberFormat="1" applyFont="1" applyBorder="1" applyAlignment="1">
      <alignment horizontal="right" vertical="center" wrapText="1"/>
    </xf>
    <xf numFmtId="166" fontId="32" fillId="0" borderId="4" xfId="0" applyNumberFormat="1" applyFont="1" applyBorder="1" applyAlignment="1">
      <alignment horizontal="right" vertical="center" wrapText="1"/>
    </xf>
    <xf numFmtId="166" fontId="32" fillId="2" borderId="4" xfId="0" applyNumberFormat="1" applyFont="1" applyFill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166" fontId="32" fillId="2" borderId="3" xfId="0" applyNumberFormat="1" applyFont="1" applyFill="1" applyBorder="1" applyAlignment="1">
      <alignment horizontal="right" vertical="center" wrapText="1"/>
    </xf>
    <xf numFmtId="166" fontId="32" fillId="0" borderId="3" xfId="0" applyNumberFormat="1" applyFont="1" applyBorder="1" applyAlignment="1">
      <alignment horizontal="right" vertical="center" wrapText="1"/>
    </xf>
    <xf numFmtId="168" fontId="28" fillId="0" borderId="1" xfId="0" applyNumberFormat="1" applyFont="1" applyBorder="1" applyAlignment="1">
      <alignment vertical="center"/>
    </xf>
    <xf numFmtId="167" fontId="32" fillId="0" borderId="9" xfId="0" applyNumberFormat="1" applyFont="1" applyBorder="1" applyAlignment="1">
      <alignment horizontal="right" vertical="center" wrapText="1"/>
    </xf>
    <xf numFmtId="0" fontId="28" fillId="7" borderId="0" xfId="0" applyFont="1" applyFill="1" applyAlignment="1">
      <alignment vertical="center"/>
    </xf>
    <xf numFmtId="0" fontId="28" fillId="7" borderId="0" xfId="0" applyFont="1" applyFill="1"/>
    <xf numFmtId="0" fontId="28" fillId="0" borderId="31" xfId="0" applyFont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168" fontId="28" fillId="3" borderId="16" xfId="0" applyNumberFormat="1" applyFont="1" applyFill="1" applyBorder="1" applyAlignment="1">
      <alignment vertical="center"/>
    </xf>
    <xf numFmtId="0" fontId="28" fillId="3" borderId="16" xfId="0" applyFont="1" applyFill="1" applyBorder="1" applyAlignment="1">
      <alignment vertical="center"/>
    </xf>
    <xf numFmtId="168" fontId="28" fillId="0" borderId="16" xfId="0" applyNumberFormat="1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166" fontId="32" fillId="3" borderId="4" xfId="0" applyNumberFormat="1" applyFont="1" applyFill="1" applyBorder="1" applyAlignment="1">
      <alignment horizontal="right" vertical="center" wrapText="1"/>
    </xf>
    <xf numFmtId="0" fontId="32" fillId="3" borderId="3" xfId="0" applyFont="1" applyFill="1" applyBorder="1" applyAlignment="1">
      <alignment horizontal="right" vertical="center" wrapText="1"/>
    </xf>
    <xf numFmtId="0" fontId="32" fillId="3" borderId="4" xfId="0" applyFont="1" applyFill="1" applyBorder="1" applyAlignment="1">
      <alignment horizontal="right" vertical="center" wrapText="1"/>
    </xf>
    <xf numFmtId="0" fontId="32" fillId="3" borderId="6" xfId="0" applyFont="1" applyFill="1" applyBorder="1" applyAlignment="1">
      <alignment horizontal="right" vertical="center" wrapText="1"/>
    </xf>
    <xf numFmtId="166" fontId="38" fillId="0" borderId="4" xfId="0" applyNumberFormat="1" applyFont="1" applyBorder="1" applyAlignment="1">
      <alignment horizontal="right" vertical="center" wrapText="1"/>
    </xf>
    <xf numFmtId="167" fontId="38" fillId="0" borderId="4" xfId="0" applyNumberFormat="1" applyFont="1" applyBorder="1" applyAlignment="1">
      <alignment horizontal="right" vertical="center" wrapText="1"/>
    </xf>
    <xf numFmtId="167" fontId="38" fillId="0" borderId="9" xfId="0" applyNumberFormat="1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68" fontId="37" fillId="0" borderId="1" xfId="0" applyNumberFormat="1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38" fillId="0" borderId="1" xfId="0" applyFont="1" applyBorder="1" applyAlignment="1">
      <alignment horizontal="right" vertical="center" wrapText="1"/>
    </xf>
    <xf numFmtId="0" fontId="38" fillId="0" borderId="16" xfId="0" applyFont="1" applyBorder="1" applyAlignment="1">
      <alignment horizontal="right" vertical="center" wrapText="1"/>
    </xf>
    <xf numFmtId="0" fontId="38" fillId="0" borderId="3" xfId="0" applyFont="1" applyBorder="1" applyAlignment="1">
      <alignment horizontal="right" vertical="center" wrapText="1"/>
    </xf>
    <xf numFmtId="166" fontId="38" fillId="0" borderId="7" xfId="0" applyNumberFormat="1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8" fillId="3" borderId="3" xfId="0" applyFont="1" applyFill="1" applyBorder="1" applyAlignment="1">
      <alignment horizontal="right" vertical="center" wrapText="1"/>
    </xf>
    <xf numFmtId="166" fontId="38" fillId="0" borderId="3" xfId="0" applyNumberFormat="1" applyFont="1" applyBorder="1" applyAlignment="1">
      <alignment horizontal="right" vertical="center" wrapText="1"/>
    </xf>
    <xf numFmtId="0" fontId="38" fillId="2" borderId="5" xfId="0" applyFont="1" applyFill="1" applyBorder="1" applyAlignment="1">
      <alignment horizontal="right" vertical="center" wrapText="1"/>
    </xf>
    <xf numFmtId="0" fontId="38" fillId="0" borderId="4" xfId="0" applyFont="1" applyBorder="1" applyAlignment="1">
      <alignment horizontal="right" vertical="center" wrapText="1"/>
    </xf>
    <xf numFmtId="0" fontId="38" fillId="3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center" vertical="center"/>
    </xf>
    <xf numFmtId="0" fontId="40" fillId="0" borderId="4" xfId="0" applyFont="1" applyBorder="1" applyAlignment="1">
      <alignment horizontal="left" vertical="center"/>
    </xf>
    <xf numFmtId="0" fontId="40" fillId="3" borderId="4" xfId="0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horizontal="right" vertical="center" wrapText="1"/>
    </xf>
    <xf numFmtId="166" fontId="38" fillId="0" borderId="5" xfId="0" applyNumberFormat="1" applyFont="1" applyBorder="1" applyAlignment="1">
      <alignment horizontal="right" vertical="center" wrapText="1"/>
    </xf>
    <xf numFmtId="0" fontId="38" fillId="3" borderId="6" xfId="0" applyFont="1" applyFill="1" applyBorder="1" applyAlignment="1">
      <alignment horizontal="right" vertical="center" wrapText="1"/>
    </xf>
    <xf numFmtId="0" fontId="40" fillId="0" borderId="3" xfId="0" applyFont="1" applyBorder="1" applyAlignment="1">
      <alignment horizontal="center" vertical="center"/>
    </xf>
    <xf numFmtId="167" fontId="38" fillId="0" borderId="3" xfId="0" applyNumberFormat="1" applyFont="1" applyBorder="1" applyAlignment="1">
      <alignment horizontal="right" vertical="center" wrapText="1"/>
    </xf>
    <xf numFmtId="0" fontId="41" fillId="0" borderId="1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center" vertical="center"/>
    </xf>
    <xf numFmtId="0" fontId="38" fillId="0" borderId="9" xfId="0" applyFont="1" applyBorder="1" applyAlignment="1">
      <alignment horizontal="right" vertical="center" wrapText="1"/>
    </xf>
    <xf numFmtId="167" fontId="38" fillId="3" borderId="9" xfId="0" applyNumberFormat="1" applyFont="1" applyFill="1" applyBorder="1" applyAlignment="1">
      <alignment horizontal="right" vertical="center" wrapText="1"/>
    </xf>
    <xf numFmtId="168" fontId="37" fillId="0" borderId="4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168" fontId="37" fillId="3" borderId="4" xfId="0" applyNumberFormat="1" applyFont="1" applyFill="1" applyBorder="1" applyAlignment="1">
      <alignment vertical="center"/>
    </xf>
    <xf numFmtId="168" fontId="37" fillId="3" borderId="3" xfId="0" applyNumberFormat="1" applyFont="1" applyFill="1" applyBorder="1" applyAlignment="1">
      <alignment vertical="center"/>
    </xf>
    <xf numFmtId="0" fontId="37" fillId="3" borderId="3" xfId="0" applyFont="1" applyFill="1" applyBorder="1" applyAlignment="1">
      <alignment vertical="center"/>
    </xf>
    <xf numFmtId="168" fontId="37" fillId="0" borderId="3" xfId="0" applyNumberFormat="1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2" fontId="44" fillId="0" borderId="13" xfId="0" applyNumberFormat="1" applyFont="1" applyBorder="1"/>
    <xf numFmtId="49" fontId="43" fillId="0" borderId="13" xfId="0" applyNumberFormat="1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45" fillId="0" borderId="0" xfId="0" applyFont="1"/>
    <xf numFmtId="0" fontId="46" fillId="0" borderId="0" xfId="0" applyFont="1"/>
    <xf numFmtId="0" fontId="37" fillId="0" borderId="4" xfId="2" applyNumberFormat="1" applyFont="1" applyFill="1" applyBorder="1" applyAlignment="1">
      <alignment vertical="center"/>
    </xf>
    <xf numFmtId="0" fontId="37" fillId="0" borderId="18" xfId="0" applyFont="1" applyBorder="1" applyAlignment="1">
      <alignment vertical="center" wrapText="1"/>
    </xf>
    <xf numFmtId="0" fontId="37" fillId="0" borderId="18" xfId="0" applyFont="1" applyBorder="1" applyAlignment="1">
      <alignment vertical="center"/>
    </xf>
    <xf numFmtId="0" fontId="37" fillId="0" borderId="31" xfId="0" applyFont="1" applyBorder="1" applyAlignment="1">
      <alignment vertical="center" wrapText="1"/>
    </xf>
    <xf numFmtId="0" fontId="37" fillId="0" borderId="17" xfId="0" applyFont="1" applyBorder="1" applyAlignment="1">
      <alignment vertical="center" wrapText="1"/>
    </xf>
    <xf numFmtId="0" fontId="37" fillId="0" borderId="31" xfId="0" applyFont="1" applyBorder="1" applyAlignment="1">
      <alignment vertical="center"/>
    </xf>
    <xf numFmtId="166" fontId="38" fillId="3" borderId="4" xfId="0" applyNumberFormat="1" applyFont="1" applyFill="1" applyBorder="1" applyAlignment="1">
      <alignment horizontal="right" vertical="center" wrapText="1"/>
    </xf>
    <xf numFmtId="0" fontId="43" fillId="0" borderId="11" xfId="0" applyFont="1" applyBorder="1"/>
    <xf numFmtId="0" fontId="43" fillId="0" borderId="11" xfId="0" applyFont="1" applyBorder="1" applyAlignment="1">
      <alignment horizontal="center"/>
    </xf>
    <xf numFmtId="0" fontId="43" fillId="0" borderId="11" xfId="0" applyFont="1" applyBorder="1" applyAlignment="1">
      <alignment horizontal="center" wrapText="1"/>
    </xf>
    <xf numFmtId="0" fontId="43" fillId="0" borderId="13" xfId="0" applyFont="1" applyBorder="1" applyAlignment="1">
      <alignment horizontal="center" wrapText="1"/>
    </xf>
    <xf numFmtId="166" fontId="44" fillId="0" borderId="13" xfId="0" applyNumberFormat="1" applyFont="1" applyBorder="1"/>
    <xf numFmtId="167" fontId="38" fillId="0" borderId="6" xfId="2" applyNumberFormat="1" applyFont="1" applyBorder="1" applyAlignment="1">
      <alignment horizontal="right" vertical="center" wrapText="1"/>
    </xf>
    <xf numFmtId="0" fontId="37" fillId="0" borderId="0" xfId="0" applyFont="1" applyAlignment="1">
      <alignment vertical="center" wrapText="1"/>
    </xf>
    <xf numFmtId="0" fontId="37" fillId="0" borderId="21" xfId="0" applyFont="1" applyBorder="1" applyAlignment="1">
      <alignment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21" xfId="0" applyFont="1" applyBorder="1" applyAlignment="1">
      <alignment horizontal="left" vertical="center"/>
    </xf>
    <xf numFmtId="166" fontId="32" fillId="0" borderId="4" xfId="0" applyNumberFormat="1" applyFont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168" fontId="37" fillId="0" borderId="20" xfId="0" applyNumberFormat="1" applyFont="1" applyBorder="1" applyAlignment="1">
      <alignment vertical="center"/>
    </xf>
    <xf numFmtId="168" fontId="37" fillId="0" borderId="9" xfId="0" applyNumberFormat="1" applyFont="1" applyBorder="1" applyAlignment="1">
      <alignment vertical="center"/>
    </xf>
    <xf numFmtId="168" fontId="37" fillId="6" borderId="16" xfId="0" applyNumberFormat="1" applyFont="1" applyFill="1" applyBorder="1" applyAlignment="1">
      <alignment vertical="center"/>
    </xf>
    <xf numFmtId="168" fontId="37" fillId="0" borderId="23" xfId="0" applyNumberFormat="1" applyFont="1" applyBorder="1" applyAlignment="1">
      <alignment vertical="center"/>
    </xf>
    <xf numFmtId="0" fontId="37" fillId="0" borderId="9" xfId="2" applyNumberFormat="1" applyFont="1" applyFill="1" applyBorder="1" applyAlignment="1">
      <alignment vertical="center"/>
    </xf>
    <xf numFmtId="168" fontId="37" fillId="0" borderId="3" xfId="0" applyNumberFormat="1" applyFont="1" applyBorder="1" applyAlignment="1">
      <alignment horizontal="right" vertical="center"/>
    </xf>
    <xf numFmtId="0" fontId="28" fillId="0" borderId="25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 wrapText="1"/>
    </xf>
    <xf numFmtId="0" fontId="28" fillId="0" borderId="25" xfId="0" applyFont="1" applyBorder="1" applyAlignment="1">
      <alignment vertical="center" wrapText="1"/>
    </xf>
    <xf numFmtId="0" fontId="28" fillId="0" borderId="0" xfId="0" applyFont="1" applyAlignment="1">
      <alignment horizontal="left"/>
    </xf>
    <xf numFmtId="3" fontId="37" fillId="0" borderId="4" xfId="0" applyNumberFormat="1" applyFont="1" applyBorder="1" applyAlignment="1">
      <alignment vertical="center"/>
    </xf>
    <xf numFmtId="3" fontId="37" fillId="0" borderId="3" xfId="0" applyNumberFormat="1" applyFont="1" applyBorder="1" applyAlignment="1">
      <alignment vertical="center"/>
    </xf>
    <xf numFmtId="166" fontId="32" fillId="0" borderId="7" xfId="0" applyNumberFormat="1" applyFont="1" applyBorder="1" applyAlignment="1">
      <alignment horizontal="right" vertical="center" wrapText="1"/>
    </xf>
    <xf numFmtId="167" fontId="32" fillId="3" borderId="3" xfId="0" applyNumberFormat="1" applyFont="1" applyFill="1" applyBorder="1" applyAlignment="1">
      <alignment horizontal="right" vertical="center" wrapText="1"/>
    </xf>
    <xf numFmtId="169" fontId="28" fillId="0" borderId="1" xfId="0" applyNumberFormat="1" applyFont="1" applyBorder="1" applyAlignment="1">
      <alignment vertical="center"/>
    </xf>
    <xf numFmtId="3" fontId="28" fillId="0" borderId="1" xfId="0" applyNumberFormat="1" applyFont="1" applyBorder="1" applyAlignment="1">
      <alignment vertical="center"/>
    </xf>
    <xf numFmtId="3" fontId="37" fillId="3" borderId="3" xfId="0" applyNumberFormat="1" applyFont="1" applyFill="1" applyBorder="1" applyAlignment="1">
      <alignment vertical="center"/>
    </xf>
    <xf numFmtId="3" fontId="28" fillId="0" borderId="16" xfId="0" applyNumberFormat="1" applyFont="1" applyBorder="1" applyAlignment="1">
      <alignment vertical="center"/>
    </xf>
    <xf numFmtId="0" fontId="38" fillId="0" borderId="5" xfId="0" applyFont="1" applyBorder="1" applyAlignment="1">
      <alignment horizontal="right" vertical="center" wrapText="1"/>
    </xf>
    <xf numFmtId="0" fontId="39" fillId="2" borderId="5" xfId="0" applyFont="1" applyFill="1" applyBorder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168" fontId="28" fillId="0" borderId="4" xfId="0" applyNumberFormat="1" applyFont="1" applyBorder="1" applyAlignment="1">
      <alignment vertical="center"/>
    </xf>
    <xf numFmtId="1" fontId="38" fillId="0" borderId="4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49" fontId="21" fillId="6" borderId="11" xfId="0" applyNumberFormat="1" applyFont="1" applyFill="1" applyBorder="1" applyAlignment="1">
      <alignment horizontal="center" wrapText="1"/>
    </xf>
    <xf numFmtId="0" fontId="21" fillId="6" borderId="11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 wrapText="1"/>
    </xf>
    <xf numFmtId="2" fontId="24" fillId="6" borderId="11" xfId="0" applyNumberFormat="1" applyFont="1" applyFill="1" applyBorder="1"/>
    <xf numFmtId="0" fontId="21" fillId="6" borderId="11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 wrapText="1"/>
    </xf>
    <xf numFmtId="2" fontId="44" fillId="6" borderId="13" xfId="0" applyNumberFormat="1" applyFont="1" applyFill="1" applyBorder="1"/>
    <xf numFmtId="49" fontId="21" fillId="6" borderId="10" xfId="0" applyNumberFormat="1" applyFont="1" applyFill="1" applyBorder="1" applyAlignment="1">
      <alignment wrapText="1"/>
    </xf>
    <xf numFmtId="49" fontId="21" fillId="6" borderId="11" xfId="0" applyNumberFormat="1" applyFont="1" applyFill="1" applyBorder="1" applyAlignment="1">
      <alignment wrapText="1"/>
    </xf>
    <xf numFmtId="0" fontId="43" fillId="6" borderId="11" xfId="0" applyFont="1" applyFill="1" applyBorder="1" applyAlignment="1">
      <alignment horizontal="center" wrapText="1"/>
    </xf>
    <xf numFmtId="3" fontId="37" fillId="0" borderId="3" xfId="0" applyNumberFormat="1" applyFont="1" applyBorder="1" applyAlignment="1">
      <alignment horizontal="right" vertical="center"/>
    </xf>
    <xf numFmtId="168" fontId="28" fillId="3" borderId="4" xfId="0" applyNumberFormat="1" applyFont="1" applyFill="1" applyBorder="1" applyAlignment="1">
      <alignment vertical="center"/>
    </xf>
    <xf numFmtId="0" fontId="37" fillId="3" borderId="4" xfId="0" applyFont="1" applyFill="1" applyBorder="1" applyAlignment="1">
      <alignment vertical="center"/>
    </xf>
    <xf numFmtId="168" fontId="37" fillId="0" borderId="16" xfId="0" applyNumberFormat="1" applyFont="1" applyBorder="1" applyAlignment="1">
      <alignment vertical="center"/>
    </xf>
    <xf numFmtId="168" fontId="37" fillId="3" borderId="16" xfId="0" applyNumberFormat="1" applyFont="1" applyFill="1" applyBorder="1" applyAlignment="1">
      <alignment vertical="center"/>
    </xf>
    <xf numFmtId="0" fontId="37" fillId="3" borderId="16" xfId="0" applyFont="1" applyFill="1" applyBorder="1" applyAlignment="1">
      <alignment vertical="center"/>
    </xf>
    <xf numFmtId="168" fontId="37" fillId="8" borderId="4" xfId="0" applyNumberFormat="1" applyFont="1" applyFill="1" applyBorder="1" applyAlignment="1">
      <alignment vertical="center"/>
    </xf>
    <xf numFmtId="168" fontId="37" fillId="8" borderId="20" xfId="0" applyNumberFormat="1" applyFont="1" applyFill="1" applyBorder="1" applyAlignment="1">
      <alignment vertical="center"/>
    </xf>
    <xf numFmtId="168" fontId="37" fillId="8" borderId="16" xfId="0" applyNumberFormat="1" applyFont="1" applyFill="1" applyBorder="1" applyAlignment="1">
      <alignment vertical="center"/>
    </xf>
    <xf numFmtId="169" fontId="37" fillId="8" borderId="16" xfId="0" applyNumberFormat="1" applyFont="1" applyFill="1" applyBorder="1" applyAlignment="1">
      <alignment vertical="center"/>
    </xf>
    <xf numFmtId="168" fontId="36" fillId="8" borderId="2" xfId="0" applyNumberFormat="1" applyFont="1" applyFill="1" applyBorder="1" applyAlignment="1">
      <alignment vertical="center"/>
    </xf>
    <xf numFmtId="3" fontId="36" fillId="8" borderId="2" xfId="0" applyNumberFormat="1" applyFont="1" applyFill="1" applyBorder="1" applyAlignment="1">
      <alignment vertical="center"/>
    </xf>
    <xf numFmtId="168" fontId="36" fillId="8" borderId="16" xfId="0" applyNumberFormat="1" applyFont="1" applyFill="1" applyBorder="1" applyAlignment="1">
      <alignment vertical="center"/>
    </xf>
    <xf numFmtId="3" fontId="36" fillId="8" borderId="16" xfId="0" applyNumberFormat="1" applyFont="1" applyFill="1" applyBorder="1" applyAlignment="1">
      <alignment vertical="center"/>
    </xf>
    <xf numFmtId="0" fontId="37" fillId="8" borderId="16" xfId="0" applyFont="1" applyFill="1" applyBorder="1" applyAlignment="1">
      <alignment vertical="center"/>
    </xf>
    <xf numFmtId="0" fontId="37" fillId="0" borderId="16" xfId="0" applyFont="1" applyBorder="1" applyAlignment="1">
      <alignment vertical="center" wrapText="1"/>
    </xf>
    <xf numFmtId="0" fontId="37" fillId="0" borderId="16" xfId="0" applyFont="1" applyBorder="1" applyAlignment="1">
      <alignment vertical="center"/>
    </xf>
    <xf numFmtId="166" fontId="38" fillId="0" borderId="6" xfId="0" applyNumberFormat="1" applyFont="1" applyBorder="1" applyAlignment="1">
      <alignment horizontal="right" vertical="center" wrapText="1"/>
    </xf>
    <xf numFmtId="166" fontId="32" fillId="0" borderId="16" xfId="0" applyNumberFormat="1" applyFont="1" applyBorder="1" applyAlignment="1">
      <alignment horizontal="right" vertical="center" wrapText="1"/>
    </xf>
    <xf numFmtId="168" fontId="47" fillId="0" borderId="4" xfId="0" applyNumberFormat="1" applyFont="1" applyBorder="1" applyAlignment="1">
      <alignment vertical="center"/>
    </xf>
    <xf numFmtId="3" fontId="37" fillId="6" borderId="16" xfId="0" applyNumberFormat="1" applyFont="1" applyFill="1" applyBorder="1" applyAlignment="1">
      <alignment vertical="center"/>
    </xf>
    <xf numFmtId="0" fontId="32" fillId="0" borderId="1" xfId="0" applyFont="1" applyBorder="1" applyAlignment="1">
      <alignment horizontal="right" vertical="center" wrapText="1"/>
    </xf>
    <xf numFmtId="168" fontId="37" fillId="3" borderId="20" xfId="0" applyNumberFormat="1" applyFont="1" applyFill="1" applyBorder="1" applyAlignment="1">
      <alignment vertical="center"/>
    </xf>
    <xf numFmtId="168" fontId="37" fillId="9" borderId="4" xfId="0" applyNumberFormat="1" applyFont="1" applyFill="1" applyBorder="1" applyAlignment="1">
      <alignment vertical="center"/>
    </xf>
    <xf numFmtId="0" fontId="37" fillId="9" borderId="4" xfId="0" applyFont="1" applyFill="1" applyBorder="1" applyAlignment="1">
      <alignment vertical="center"/>
    </xf>
    <xf numFmtId="168" fontId="28" fillId="9" borderId="16" xfId="0" applyNumberFormat="1" applyFont="1" applyFill="1" applyBorder="1" applyAlignment="1">
      <alignment vertical="center"/>
    </xf>
    <xf numFmtId="168" fontId="37" fillId="9" borderId="3" xfId="0" applyNumberFormat="1" applyFont="1" applyFill="1" applyBorder="1" applyAlignment="1">
      <alignment vertical="center"/>
    </xf>
    <xf numFmtId="0" fontId="37" fillId="9" borderId="3" xfId="0" applyFont="1" applyFill="1" applyBorder="1" applyAlignment="1">
      <alignment vertical="center"/>
    </xf>
    <xf numFmtId="168" fontId="37" fillId="9" borderId="16" xfId="0" applyNumberFormat="1" applyFont="1" applyFill="1" applyBorder="1" applyAlignment="1">
      <alignment vertical="center"/>
    </xf>
    <xf numFmtId="0" fontId="37" fillId="9" borderId="16" xfId="0" applyFont="1" applyFill="1" applyBorder="1" applyAlignment="1">
      <alignment vertical="center"/>
    </xf>
    <xf numFmtId="0" fontId="37" fillId="3" borderId="4" xfId="2" applyNumberFormat="1" applyFont="1" applyFill="1" applyBorder="1" applyAlignment="1">
      <alignment vertical="center"/>
    </xf>
    <xf numFmtId="0" fontId="39" fillId="0" borderId="9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49" fontId="32" fillId="3" borderId="16" xfId="0" applyNumberFormat="1" applyFont="1" applyFill="1" applyBorder="1" applyAlignment="1">
      <alignment horizontal="center" vertical="center" wrapText="1"/>
    </xf>
    <xf numFmtId="49" fontId="43" fillId="6" borderId="11" xfId="0" applyNumberFormat="1" applyFont="1" applyFill="1" applyBorder="1" applyAlignment="1">
      <alignment horizontal="center" wrapText="1"/>
    </xf>
    <xf numFmtId="2" fontId="44" fillId="6" borderId="11" xfId="0" applyNumberFormat="1" applyFont="1" applyFill="1" applyBorder="1"/>
    <xf numFmtId="2" fontId="24" fillId="6" borderId="13" xfId="0" applyNumberFormat="1" applyFont="1" applyFill="1" applyBorder="1"/>
    <xf numFmtId="167" fontId="38" fillId="0" borderId="5" xfId="0" applyNumberFormat="1" applyFont="1" applyBorder="1" applyAlignment="1">
      <alignment horizontal="right" vertical="center" wrapText="1"/>
    </xf>
    <xf numFmtId="166" fontId="32" fillId="0" borderId="5" xfId="0" applyNumberFormat="1" applyFont="1" applyBorder="1" applyAlignment="1">
      <alignment horizontal="right" vertical="center" wrapText="1"/>
    </xf>
    <xf numFmtId="0" fontId="42" fillId="8" borderId="4" xfId="2" applyNumberFormat="1" applyFont="1" applyFill="1" applyBorder="1" applyAlignment="1">
      <alignment vertical="center"/>
    </xf>
    <xf numFmtId="168" fontId="49" fillId="0" borderId="4" xfId="0" applyNumberFormat="1" applyFont="1" applyBorder="1" applyAlignment="1">
      <alignment vertical="center"/>
    </xf>
    <xf numFmtId="0" fontId="49" fillId="0" borderId="19" xfId="0" applyFont="1" applyBorder="1" applyAlignment="1">
      <alignment vertical="center" wrapText="1"/>
    </xf>
    <xf numFmtId="0" fontId="49" fillId="0" borderId="20" xfId="0" applyFont="1" applyBorder="1" applyAlignment="1">
      <alignment vertical="center" wrapText="1"/>
    </xf>
    <xf numFmtId="0" fontId="49" fillId="0" borderId="4" xfId="2" applyNumberFormat="1" applyFont="1" applyFill="1" applyBorder="1" applyAlignment="1">
      <alignment vertical="center"/>
    </xf>
    <xf numFmtId="0" fontId="49" fillId="0" borderId="31" xfId="0" applyFont="1" applyBorder="1" applyAlignment="1">
      <alignment vertical="center" wrapText="1"/>
    </xf>
    <xf numFmtId="0" fontId="49" fillId="0" borderId="17" xfId="0" applyFont="1" applyBorder="1" applyAlignment="1">
      <alignment vertical="center" wrapText="1"/>
    </xf>
    <xf numFmtId="0" fontId="28" fillId="0" borderId="4" xfId="2" applyNumberFormat="1" applyFont="1" applyFill="1" applyBorder="1" applyAlignment="1">
      <alignment vertical="center"/>
    </xf>
    <xf numFmtId="168" fontId="28" fillId="0" borderId="4" xfId="0" applyNumberFormat="1" applyFont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168" fontId="28" fillId="0" borderId="20" xfId="0" applyNumberFormat="1" applyFont="1" applyBorder="1" applyAlignment="1">
      <alignment vertical="center"/>
    </xf>
    <xf numFmtId="3" fontId="37" fillId="0" borderId="1" xfId="0" applyNumberFormat="1" applyFont="1" applyBorder="1" applyAlignment="1">
      <alignment vertical="center"/>
    </xf>
    <xf numFmtId="3" fontId="37" fillId="0" borderId="16" xfId="0" applyNumberFormat="1" applyFont="1" applyBorder="1" applyAlignment="1">
      <alignment vertical="center"/>
    </xf>
    <xf numFmtId="0" fontId="32" fillId="0" borderId="2" xfId="0" applyFont="1" applyBorder="1" applyAlignment="1">
      <alignment horizontal="right" vertical="center" wrapText="1"/>
    </xf>
    <xf numFmtId="2" fontId="43" fillId="2" borderId="11" xfId="0" applyNumberFormat="1" applyFont="1" applyFill="1" applyBorder="1"/>
    <xf numFmtId="0" fontId="28" fillId="0" borderId="31" xfId="0" applyFont="1" applyBorder="1" applyAlignment="1">
      <alignment vertical="center"/>
    </xf>
    <xf numFmtId="167" fontId="38" fillId="0" borderId="2" xfId="0" applyNumberFormat="1" applyFont="1" applyBorder="1" applyAlignment="1">
      <alignment horizontal="right" vertical="center" wrapText="1"/>
    </xf>
    <xf numFmtId="0" fontId="22" fillId="0" borderId="15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1" fillId="4" borderId="28" xfId="0" applyFont="1" applyFill="1" applyBorder="1" applyAlignment="1">
      <alignment horizontal="center" vertical="center" wrapText="1"/>
    </xf>
    <xf numFmtId="0" fontId="22" fillId="10" borderId="0" xfId="0" applyFont="1" applyFill="1" applyAlignment="1">
      <alignment vertical="center" wrapText="1"/>
    </xf>
    <xf numFmtId="0" fontId="23" fillId="0" borderId="36" xfId="0" applyFont="1" applyBorder="1" applyAlignment="1">
      <alignment wrapText="1"/>
    </xf>
    <xf numFmtId="0" fontId="21" fillId="0" borderId="36" xfId="0" applyFont="1" applyBorder="1" applyAlignment="1">
      <alignment wrapText="1"/>
    </xf>
    <xf numFmtId="0" fontId="21" fillId="0" borderId="36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/>
    </xf>
    <xf numFmtId="0" fontId="21" fillId="0" borderId="36" xfId="0" applyFont="1" applyBorder="1" applyAlignment="1">
      <alignment horizontal="center" vertical="center" wrapText="1"/>
    </xf>
    <xf numFmtId="167" fontId="21" fillId="0" borderId="36" xfId="0" applyNumberFormat="1" applyFont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3" fillId="0" borderId="28" xfId="0" applyFont="1" applyBorder="1" applyAlignment="1">
      <alignment vertical="top" wrapText="1"/>
    </xf>
    <xf numFmtId="3" fontId="37" fillId="8" borderId="16" xfId="0" applyNumberFormat="1" applyFont="1" applyFill="1" applyBorder="1" applyAlignment="1">
      <alignment vertical="center"/>
    </xf>
    <xf numFmtId="2" fontId="24" fillId="2" borderId="11" xfId="0" applyNumberFormat="1" applyFont="1" applyFill="1" applyBorder="1"/>
    <xf numFmtId="0" fontId="28" fillId="0" borderId="4" xfId="0" applyFont="1" applyBorder="1" applyAlignment="1">
      <alignment vertical="center"/>
    </xf>
    <xf numFmtId="166" fontId="21" fillId="0" borderId="11" xfId="0" applyNumberFormat="1" applyFont="1" applyBorder="1" applyAlignment="1">
      <alignment horizontal="center"/>
    </xf>
    <xf numFmtId="0" fontId="21" fillId="6" borderId="11" xfId="0" applyFont="1" applyFill="1" applyBorder="1"/>
    <xf numFmtId="1" fontId="37" fillId="0" borderId="16" xfId="0" applyNumberFormat="1" applyFont="1" applyBorder="1" applyAlignment="1">
      <alignment vertical="center"/>
    </xf>
    <xf numFmtId="3" fontId="28" fillId="0" borderId="4" xfId="0" applyNumberFormat="1" applyFont="1" applyBorder="1" applyAlignment="1">
      <alignment vertical="center"/>
    </xf>
    <xf numFmtId="0" fontId="28" fillId="0" borderId="16" xfId="0" applyFont="1" applyBorder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28" fillId="6" borderId="29" xfId="0" applyFont="1" applyFill="1" applyBorder="1" applyAlignment="1">
      <alignment horizontal="left" vertical="center" wrapText="1"/>
    </xf>
    <xf numFmtId="0" fontId="36" fillId="8" borderId="29" xfId="0" applyFont="1" applyFill="1" applyBorder="1" applyAlignment="1">
      <alignment vertical="center" wrapText="1"/>
    </xf>
    <xf numFmtId="0" fontId="36" fillId="8" borderId="16" xfId="0" applyFont="1" applyFill="1" applyBorder="1" applyAlignment="1">
      <alignment vertical="center" wrapText="1"/>
    </xf>
    <xf numFmtId="0" fontId="28" fillId="0" borderId="20" xfId="0" applyFont="1" applyBorder="1" applyAlignment="1">
      <alignment horizontal="left" vertical="center" wrapText="1"/>
    </xf>
    <xf numFmtId="0" fontId="28" fillId="8" borderId="16" xfId="0" applyFont="1" applyFill="1" applyBorder="1" applyAlignment="1">
      <alignment horizontal="left" vertical="center" wrapText="1"/>
    </xf>
    <xf numFmtId="0" fontId="28" fillId="0" borderId="29" xfId="0" applyFont="1" applyBorder="1" applyAlignment="1">
      <alignment horizontal="left" vertical="center"/>
    </xf>
    <xf numFmtId="0" fontId="36" fillId="8" borderId="32" xfId="0" applyFont="1" applyFill="1" applyBorder="1" applyAlignment="1">
      <alignment vertical="center" wrapText="1"/>
    </xf>
    <xf numFmtId="0" fontId="28" fillId="6" borderId="16" xfId="0" applyFont="1" applyFill="1" applyBorder="1" applyAlignment="1">
      <alignment vertical="center" wrapText="1"/>
    </xf>
    <xf numFmtId="0" fontId="36" fillId="0" borderId="0" xfId="0" applyFont="1" applyAlignment="1">
      <alignment horizontal="center" vertical="center"/>
    </xf>
    <xf numFmtId="2" fontId="32" fillId="0" borderId="3" xfId="0" applyNumberFormat="1" applyFont="1" applyBorder="1" applyAlignment="1">
      <alignment horizontal="right" vertical="center" wrapText="1"/>
    </xf>
    <xf numFmtId="0" fontId="13" fillId="0" borderId="37" xfId="0" applyFont="1" applyBorder="1" applyAlignment="1">
      <alignment vertical="center" wrapText="1"/>
    </xf>
    <xf numFmtId="168" fontId="37" fillId="3" borderId="1" xfId="0" applyNumberFormat="1" applyFont="1" applyFill="1" applyBorder="1" applyAlignment="1">
      <alignment vertical="center"/>
    </xf>
    <xf numFmtId="0" fontId="37" fillId="3" borderId="1" xfId="0" applyFont="1" applyFill="1" applyBorder="1" applyAlignment="1">
      <alignment vertical="center"/>
    </xf>
    <xf numFmtId="166" fontId="28" fillId="9" borderId="16" xfId="0" applyNumberFormat="1" applyFont="1" applyFill="1" applyBorder="1" applyAlignment="1">
      <alignment vertical="center"/>
    </xf>
    <xf numFmtId="168" fontId="28" fillId="0" borderId="9" xfId="0" applyNumberFormat="1" applyFont="1" applyBorder="1" applyAlignment="1">
      <alignment vertical="center"/>
    </xf>
    <xf numFmtId="0" fontId="36" fillId="8" borderId="21" xfId="0" applyFont="1" applyFill="1" applyBorder="1" applyAlignment="1">
      <alignment vertical="center" wrapText="1"/>
    </xf>
    <xf numFmtId="0" fontId="4" fillId="8" borderId="16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center" vertical="center" wrapText="1"/>
    </xf>
    <xf numFmtId="168" fontId="47" fillId="0" borderId="1" xfId="0" applyNumberFormat="1" applyFont="1" applyBorder="1" applyAlignment="1">
      <alignment vertical="center"/>
    </xf>
    <xf numFmtId="168" fontId="42" fillId="8" borderId="16" xfId="0" applyNumberFormat="1" applyFont="1" applyFill="1" applyBorder="1" applyAlignment="1">
      <alignment vertical="center"/>
    </xf>
    <xf numFmtId="0" fontId="50" fillId="0" borderId="16" xfId="0" applyFont="1" applyBorder="1" applyAlignment="1">
      <alignment horizontal="left" vertical="center" wrapText="1"/>
    </xf>
    <xf numFmtId="0" fontId="50" fillId="0" borderId="39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166" fontId="32" fillId="0" borderId="1" xfId="0" applyNumberFormat="1" applyFont="1" applyBorder="1" applyAlignment="1">
      <alignment horizontal="right" vertical="center" wrapText="1"/>
    </xf>
    <xf numFmtId="166" fontId="38" fillId="0" borderId="1" xfId="0" applyNumberFormat="1" applyFont="1" applyBorder="1" applyAlignment="1">
      <alignment horizontal="right" vertical="center" wrapText="1"/>
    </xf>
    <xf numFmtId="0" fontId="50" fillId="0" borderId="3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50" fillId="0" borderId="40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wrapText="1"/>
    </xf>
    <xf numFmtId="0" fontId="9" fillId="0" borderId="38" xfId="0" applyFont="1" applyBorder="1" applyAlignment="1">
      <alignment horizontal="right" wrapText="1"/>
    </xf>
    <xf numFmtId="0" fontId="8" fillId="0" borderId="9" xfId="0" applyFont="1" applyBorder="1"/>
    <xf numFmtId="0" fontId="50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168" fontId="38" fillId="0" borderId="16" xfId="0" applyNumberFormat="1" applyFont="1" applyBorder="1" applyAlignment="1">
      <alignment horizontal="right" vertical="center" wrapText="1"/>
    </xf>
    <xf numFmtId="166" fontId="38" fillId="0" borderId="16" xfId="0" applyNumberFormat="1" applyFont="1" applyBorder="1" applyAlignment="1">
      <alignment horizontal="right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vertical="center" wrapText="1"/>
    </xf>
    <xf numFmtId="0" fontId="42" fillId="8" borderId="16" xfId="0" applyFont="1" applyFill="1" applyBorder="1" applyAlignment="1">
      <alignment vertical="center"/>
    </xf>
    <xf numFmtId="3" fontId="28" fillId="9" borderId="16" xfId="0" applyNumberFormat="1" applyFont="1" applyFill="1" applyBorder="1" applyAlignment="1">
      <alignment vertical="center"/>
    </xf>
    <xf numFmtId="0" fontId="28" fillId="5" borderId="18" xfId="0" applyFont="1" applyFill="1" applyBorder="1" applyAlignment="1">
      <alignment horizontal="center" vertical="center" wrapText="1"/>
    </xf>
    <xf numFmtId="168" fontId="42" fillId="8" borderId="28" xfId="0" applyNumberFormat="1" applyFont="1" applyFill="1" applyBorder="1" applyAlignment="1">
      <alignment vertical="center"/>
    </xf>
    <xf numFmtId="168" fontId="37" fillId="6" borderId="28" xfId="0" applyNumberFormat="1" applyFont="1" applyFill="1" applyBorder="1" applyAlignment="1">
      <alignment vertical="center"/>
    </xf>
    <xf numFmtId="168" fontId="28" fillId="0" borderId="18" xfId="0" applyNumberFormat="1" applyFont="1" applyBorder="1" applyAlignment="1">
      <alignment vertical="center"/>
    </xf>
    <xf numFmtId="168" fontId="28" fillId="0" borderId="41" xfId="0" applyNumberFormat="1" applyFont="1" applyBorder="1" applyAlignment="1">
      <alignment vertical="center"/>
    </xf>
    <xf numFmtId="168" fontId="49" fillId="0" borderId="41" xfId="0" applyNumberFormat="1" applyFont="1" applyBorder="1" applyAlignment="1">
      <alignment vertical="center"/>
    </xf>
    <xf numFmtId="168" fontId="28" fillId="0" borderId="41" xfId="0" applyNumberFormat="1" applyFont="1" applyBorder="1" applyAlignment="1">
      <alignment horizontal="right" vertical="center"/>
    </xf>
    <xf numFmtId="168" fontId="37" fillId="0" borderId="42" xfId="0" applyNumberFormat="1" applyFont="1" applyBorder="1" applyAlignment="1">
      <alignment vertical="center"/>
    </xf>
    <xf numFmtId="168" fontId="37" fillId="0" borderId="43" xfId="0" applyNumberFormat="1" applyFont="1" applyBorder="1" applyAlignment="1">
      <alignment vertical="center"/>
    </xf>
    <xf numFmtId="168" fontId="37" fillId="3" borderId="41" xfId="0" applyNumberFormat="1" applyFont="1" applyFill="1" applyBorder="1" applyAlignment="1">
      <alignment vertical="center"/>
    </xf>
    <xf numFmtId="168" fontId="37" fillId="0" borderId="41" xfId="0" applyNumberFormat="1" applyFont="1" applyBorder="1" applyAlignment="1">
      <alignment vertical="center"/>
    </xf>
    <xf numFmtId="168" fontId="37" fillId="8" borderId="41" xfId="0" applyNumberFormat="1" applyFont="1" applyFill="1" applyBorder="1" applyAlignment="1">
      <alignment vertical="center"/>
    </xf>
    <xf numFmtId="168" fontId="37" fillId="0" borderId="43" xfId="0" applyNumberFormat="1" applyFont="1" applyBorder="1" applyAlignment="1">
      <alignment horizontal="right" vertical="center"/>
    </xf>
    <xf numFmtId="168" fontId="37" fillId="0" borderId="18" xfId="0" applyNumberFormat="1" applyFont="1" applyBorder="1" applyAlignment="1">
      <alignment vertical="center"/>
    </xf>
    <xf numFmtId="168" fontId="37" fillId="8" borderId="28" xfId="0" applyNumberFormat="1" applyFont="1" applyFill="1" applyBorder="1" applyAlignment="1">
      <alignment vertical="center"/>
    </xf>
    <xf numFmtId="168" fontId="36" fillId="8" borderId="44" xfId="0" applyNumberFormat="1" applyFont="1" applyFill="1" applyBorder="1" applyAlignment="1">
      <alignment vertical="center"/>
    </xf>
    <xf numFmtId="168" fontId="28" fillId="0" borderId="28" xfId="0" applyNumberFormat="1" applyFont="1" applyBorder="1" applyAlignment="1">
      <alignment vertical="center"/>
    </xf>
    <xf numFmtId="168" fontId="37" fillId="3" borderId="43" xfId="0" applyNumberFormat="1" applyFont="1" applyFill="1" applyBorder="1" applyAlignment="1">
      <alignment vertical="center"/>
    </xf>
    <xf numFmtId="168" fontId="37" fillId="3" borderId="18" xfId="0" applyNumberFormat="1" applyFont="1" applyFill="1" applyBorder="1" applyAlignment="1">
      <alignment vertical="center"/>
    </xf>
    <xf numFmtId="168" fontId="36" fillId="8" borderId="28" xfId="0" applyNumberFormat="1" applyFont="1" applyFill="1" applyBorder="1" applyAlignment="1">
      <alignment vertical="center"/>
    </xf>
    <xf numFmtId="168" fontId="28" fillId="3" borderId="28" xfId="0" applyNumberFormat="1" applyFont="1" applyFill="1" applyBorder="1" applyAlignment="1">
      <alignment vertical="center"/>
    </xf>
    <xf numFmtId="168" fontId="37" fillId="0" borderId="28" xfId="0" applyNumberFormat="1" applyFont="1" applyBorder="1" applyAlignment="1">
      <alignment vertical="center"/>
    </xf>
    <xf numFmtId="168" fontId="37" fillId="3" borderId="28" xfId="0" applyNumberFormat="1" applyFont="1" applyFill="1" applyBorder="1" applyAlignment="1">
      <alignment vertical="center"/>
    </xf>
    <xf numFmtId="0" fontId="13" fillId="5" borderId="16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vertical="center"/>
    </xf>
    <xf numFmtId="168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0" fontId="28" fillId="0" borderId="6" xfId="0" applyFont="1" applyBorder="1" applyAlignment="1">
      <alignment horizontal="left" vertical="center" wrapText="1"/>
    </xf>
    <xf numFmtId="168" fontId="37" fillId="0" borderId="6" xfId="0" applyNumberFormat="1" applyFont="1" applyBorder="1" applyAlignment="1">
      <alignment vertical="center"/>
    </xf>
    <xf numFmtId="168" fontId="37" fillId="0" borderId="25" xfId="0" applyNumberFormat="1" applyFont="1" applyBorder="1" applyAlignment="1">
      <alignment vertical="center"/>
    </xf>
    <xf numFmtId="0" fontId="36" fillId="0" borderId="16" xfId="0" applyFont="1" applyBorder="1" applyAlignment="1">
      <alignment vertical="center" wrapText="1"/>
    </xf>
    <xf numFmtId="168" fontId="47" fillId="3" borderId="4" xfId="0" applyNumberFormat="1" applyFont="1" applyFill="1" applyBorder="1" applyAlignment="1">
      <alignment vertical="center"/>
    </xf>
    <xf numFmtId="168" fontId="51" fillId="3" borderId="4" xfId="0" applyNumberFormat="1" applyFont="1" applyFill="1" applyBorder="1" applyAlignment="1">
      <alignment vertical="center"/>
    </xf>
    <xf numFmtId="168" fontId="51" fillId="0" borderId="3" xfId="0" applyNumberFormat="1" applyFont="1" applyBorder="1" applyAlignment="1">
      <alignment vertical="center"/>
    </xf>
    <xf numFmtId="168" fontId="51" fillId="0" borderId="4" xfId="0" applyNumberFormat="1" applyFont="1" applyBorder="1" applyAlignment="1">
      <alignment vertical="center"/>
    </xf>
    <xf numFmtId="0" fontId="37" fillId="6" borderId="16" xfId="0" applyFont="1" applyFill="1" applyBorder="1" applyAlignment="1">
      <alignment vertical="center"/>
    </xf>
    <xf numFmtId="3" fontId="28" fillId="0" borderId="0" xfId="0" applyNumberFormat="1" applyFont="1" applyAlignment="1">
      <alignment vertical="center"/>
    </xf>
    <xf numFmtId="168" fontId="5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6" fillId="8" borderId="16" xfId="0" applyFont="1" applyFill="1" applyBorder="1" applyAlignment="1">
      <alignment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6" borderId="16" xfId="0" applyFont="1" applyFill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8" fillId="5" borderId="25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/>
    </xf>
    <xf numFmtId="0" fontId="28" fillId="5" borderId="32" xfId="0" applyFont="1" applyFill="1" applyBorder="1" applyAlignment="1">
      <alignment horizontal="center" vertical="center"/>
    </xf>
    <xf numFmtId="0" fontId="28" fillId="5" borderId="18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8" fillId="5" borderId="21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36" fillId="0" borderId="0" xfId="0" applyFont="1" applyAlignment="1">
      <alignment horizontal="justify" vertical="center" wrapText="1"/>
    </xf>
    <xf numFmtId="0" fontId="36" fillId="8" borderId="28" xfId="0" applyFont="1" applyFill="1" applyBorder="1" applyAlignment="1">
      <alignment vertical="center" wrapText="1"/>
    </xf>
    <xf numFmtId="0" fontId="36" fillId="8" borderId="12" xfId="0" applyFont="1" applyFill="1" applyBorder="1" applyAlignment="1">
      <alignment vertical="center" wrapText="1"/>
    </xf>
    <xf numFmtId="0" fontId="36" fillId="8" borderId="29" xfId="0" applyFont="1" applyFill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7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28" fillId="0" borderId="18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21" xfId="0" applyFont="1" applyBorder="1" applyAlignment="1">
      <alignment horizontal="left" vertical="center"/>
    </xf>
    <xf numFmtId="0" fontId="28" fillId="8" borderId="16" xfId="0" applyFont="1" applyFill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28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8" fillId="0" borderId="29" xfId="0" applyFont="1" applyBorder="1" applyAlignment="1">
      <alignment horizontal="left" vertical="center"/>
    </xf>
    <xf numFmtId="0" fontId="37" fillId="0" borderId="18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6" borderId="28" xfId="0" applyFont="1" applyFill="1" applyBorder="1" applyAlignment="1">
      <alignment horizontal="left" vertical="center" wrapText="1"/>
    </xf>
    <xf numFmtId="0" fontId="28" fillId="6" borderId="12" xfId="0" applyFont="1" applyFill="1" applyBorder="1" applyAlignment="1">
      <alignment horizontal="left" vertical="center" wrapText="1"/>
    </xf>
    <xf numFmtId="0" fontId="28" fillId="6" borderId="29" xfId="0" applyFont="1" applyFill="1" applyBorder="1" applyAlignment="1">
      <alignment horizontal="left" vertical="center" wrapText="1"/>
    </xf>
    <xf numFmtId="0" fontId="28" fillId="5" borderId="28" xfId="0" applyFont="1" applyFill="1" applyBorder="1" applyAlignment="1">
      <alignment horizontal="center" vertical="center" wrapText="1"/>
    </xf>
    <xf numFmtId="0" fontId="28" fillId="5" borderId="29" xfId="0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4" fillId="8" borderId="16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8" fillId="5" borderId="1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49" fontId="21" fillId="5" borderId="16" xfId="1" applyNumberFormat="1" applyFont="1" applyFill="1" applyBorder="1" applyAlignment="1">
      <alignment horizontal="center" vertical="center" wrapText="1"/>
    </xf>
    <xf numFmtId="49" fontId="21" fillId="5" borderId="16" xfId="0" applyNumberFormat="1" applyFont="1" applyFill="1" applyBorder="1" applyAlignment="1">
      <alignment vertical="center"/>
    </xf>
    <xf numFmtId="0" fontId="21" fillId="5" borderId="25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32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21" fillId="5" borderId="21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0" fontId="21" fillId="5" borderId="35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wrapText="1"/>
    </xf>
    <xf numFmtId="0" fontId="22" fillId="4" borderId="12" xfId="0" applyFont="1" applyFill="1" applyBorder="1" applyAlignment="1">
      <alignment horizontal="center" wrapText="1"/>
    </xf>
    <xf numFmtId="0" fontId="22" fillId="4" borderId="14" xfId="0" applyFont="1" applyFill="1" applyBorder="1" applyAlignment="1">
      <alignment horizontal="center" wrapText="1"/>
    </xf>
    <xf numFmtId="0" fontId="21" fillId="0" borderId="0" xfId="0" applyFont="1"/>
    <xf numFmtId="0" fontId="23" fillId="0" borderId="0" xfId="0" applyFont="1" applyAlignment="1">
      <alignment vertical="center" wrapText="1"/>
    </xf>
    <xf numFmtId="0" fontId="22" fillId="0" borderId="15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justify" wrapText="1"/>
    </xf>
    <xf numFmtId="0" fontId="22" fillId="0" borderId="12" xfId="0" applyFont="1" applyBorder="1" applyAlignment="1">
      <alignment horizontal="center" vertical="justify" wrapText="1"/>
    </xf>
    <xf numFmtId="0" fontId="22" fillId="0" borderId="14" xfId="0" applyFont="1" applyBorder="1" applyAlignment="1">
      <alignment horizontal="center" vertical="justify" wrapText="1"/>
    </xf>
    <xf numFmtId="0" fontId="22" fillId="10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2" fillId="0" borderId="2" xfId="0" applyFont="1" applyFill="1" applyBorder="1" applyAlignment="1">
      <alignment horizontal="right" vertical="center" wrapText="1"/>
    </xf>
  </cellXfs>
  <cellStyles count="4">
    <cellStyle name="Денежный" xfId="1" builtinId="4"/>
    <cellStyle name="Обычный" xfId="0" builtinId="0"/>
    <cellStyle name="Обычный 4" xfId="3" xr:uid="{00000000-0005-0000-0000-000002000000}"/>
    <cellStyle name="Финансовый" xfId="2" builtinId="3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view="pageBreakPreview" topLeftCell="A10" zoomScale="78" zoomScaleNormal="75" zoomScaleSheetLayoutView="78" workbookViewId="0">
      <selection activeCell="D49" sqref="D49"/>
    </sheetView>
  </sheetViews>
  <sheetFormatPr defaultRowHeight="12.75" x14ac:dyDescent="0.2"/>
  <cols>
    <col min="1" max="1" width="71.7109375" customWidth="1"/>
    <col min="2" max="2" width="12.42578125" customWidth="1"/>
    <col min="3" max="3" width="18.85546875" customWidth="1"/>
    <col min="4" max="4" width="21.85546875" customWidth="1"/>
    <col min="5" max="5" width="18.7109375" customWidth="1"/>
  </cols>
  <sheetData>
    <row r="1" spans="1:5" ht="105" customHeight="1" x14ac:dyDescent="0.2">
      <c r="A1" s="1"/>
      <c r="B1" s="2"/>
      <c r="C1" s="1"/>
      <c r="D1" s="406" t="s">
        <v>2</v>
      </c>
      <c r="E1" s="406"/>
    </row>
    <row r="2" spans="1:5" ht="18" x14ac:dyDescent="0.2">
      <c r="A2" s="2"/>
      <c r="B2" s="2"/>
      <c r="C2" s="1"/>
      <c r="D2" s="407"/>
      <c r="E2" s="407"/>
    </row>
    <row r="3" spans="1:5" ht="51" customHeight="1" x14ac:dyDescent="0.2">
      <c r="A3" s="408" t="s">
        <v>354</v>
      </c>
      <c r="B3" s="408"/>
      <c r="C3" s="408"/>
      <c r="D3" s="408"/>
      <c r="E3" s="408"/>
    </row>
    <row r="4" spans="1:5" ht="18" x14ac:dyDescent="0.2">
      <c r="A4" s="409"/>
      <c r="B4" s="409"/>
      <c r="C4" s="409"/>
      <c r="D4" s="409"/>
      <c r="E4" s="409"/>
    </row>
    <row r="5" spans="1:5" ht="111" customHeight="1" x14ac:dyDescent="0.2">
      <c r="A5" s="76" t="s">
        <v>3</v>
      </c>
      <c r="B5" s="77" t="s">
        <v>4</v>
      </c>
      <c r="C5" s="78" t="s">
        <v>5</v>
      </c>
      <c r="D5" s="79" t="s">
        <v>6</v>
      </c>
      <c r="E5" s="78" t="s">
        <v>7</v>
      </c>
    </row>
    <row r="6" spans="1:5" ht="18.75" x14ac:dyDescent="0.2">
      <c r="A6" s="411" t="s">
        <v>8</v>
      </c>
      <c r="B6" s="412"/>
      <c r="C6" s="412"/>
      <c r="D6" s="412"/>
      <c r="E6" s="413"/>
    </row>
    <row r="7" spans="1:5" ht="39" x14ac:dyDescent="0.2">
      <c r="A7" s="3" t="s">
        <v>184</v>
      </c>
      <c r="B7" s="20" t="s">
        <v>9</v>
      </c>
      <c r="C7" s="121">
        <f>C9+C12+C13+C14+C15+C16+C17+C18+C19+C20+C21+C22</f>
        <v>751.33299999999997</v>
      </c>
      <c r="D7" s="121">
        <f>D9+D12+D13+D14+D15+D16+D17+D18+D19+D20+D21+D22</f>
        <v>732.86500000000001</v>
      </c>
      <c r="E7" s="267">
        <f>ROUND(C7/D7*100,1)</f>
        <v>102.5</v>
      </c>
    </row>
    <row r="8" spans="1:5" ht="18.75" x14ac:dyDescent="0.2">
      <c r="A8" s="5" t="s">
        <v>10</v>
      </c>
      <c r="B8" s="6"/>
      <c r="C8" s="122"/>
      <c r="D8" s="122"/>
      <c r="E8" s="225"/>
    </row>
    <row r="9" spans="1:5" ht="41.25" customHeight="1" x14ac:dyDescent="0.2">
      <c r="A9" s="19" t="s">
        <v>153</v>
      </c>
      <c r="B9" s="7" t="s">
        <v>9</v>
      </c>
      <c r="C9" s="123">
        <f>C10+C11</f>
        <v>61.58</v>
      </c>
      <c r="D9" s="123">
        <f>D10+D11</f>
        <v>54.74</v>
      </c>
      <c r="E9" s="128">
        <f>ROUND(C9/D9*100,1)</f>
        <v>112.5</v>
      </c>
    </row>
    <row r="10" spans="1:5" ht="42.75" customHeight="1" x14ac:dyDescent="0.2">
      <c r="A10" s="19" t="s">
        <v>176</v>
      </c>
      <c r="B10" s="7" t="s">
        <v>9</v>
      </c>
      <c r="C10" s="123">
        <v>16.754999999999999</v>
      </c>
      <c r="D10" s="123">
        <v>23.827000000000002</v>
      </c>
      <c r="E10" s="124">
        <f>ROUND(C10/D10*100,1)</f>
        <v>70.3</v>
      </c>
    </row>
    <row r="11" spans="1:5" ht="20.25" customHeight="1" x14ac:dyDescent="0.2">
      <c r="A11" s="19" t="s">
        <v>154</v>
      </c>
      <c r="B11" s="7" t="s">
        <v>9</v>
      </c>
      <c r="C11" s="123">
        <v>44.825000000000003</v>
      </c>
      <c r="D11" s="123">
        <v>30.913</v>
      </c>
      <c r="E11" s="124">
        <f>ROUND(C11/D11*100,1)</f>
        <v>145</v>
      </c>
    </row>
    <row r="12" spans="1:5" ht="18.75" x14ac:dyDescent="0.2">
      <c r="A12" s="19" t="s">
        <v>155</v>
      </c>
      <c r="B12" s="7" t="s">
        <v>9</v>
      </c>
      <c r="C12" s="123"/>
      <c r="D12" s="123"/>
      <c r="E12" s="124"/>
    </row>
    <row r="13" spans="1:5" ht="18.75" x14ac:dyDescent="0.2">
      <c r="A13" s="55" t="s">
        <v>62</v>
      </c>
      <c r="B13" s="7" t="s">
        <v>9</v>
      </c>
      <c r="C13" s="123"/>
      <c r="D13" s="123"/>
      <c r="E13" s="124"/>
    </row>
    <row r="14" spans="1:5" ht="18.75" x14ac:dyDescent="0.2">
      <c r="A14" s="55" t="s">
        <v>63</v>
      </c>
      <c r="B14" s="7" t="s">
        <v>9</v>
      </c>
      <c r="C14" s="123">
        <v>51.320999999999998</v>
      </c>
      <c r="D14" s="123">
        <v>50.438000000000002</v>
      </c>
      <c r="E14" s="124">
        <f>ROUND(C14/D14*100,1)</f>
        <v>101.8</v>
      </c>
    </row>
    <row r="15" spans="1:5" ht="37.5" customHeight="1" x14ac:dyDescent="0.2">
      <c r="A15" s="19" t="s">
        <v>156</v>
      </c>
      <c r="B15" s="7" t="s">
        <v>9</v>
      </c>
      <c r="C15" s="123">
        <v>25.791</v>
      </c>
      <c r="D15" s="123">
        <v>24.896999999999998</v>
      </c>
      <c r="E15" s="143">
        <f t="shared" ref="E15:E24" si="0">C15/D15*100</f>
        <v>103.5907940715749</v>
      </c>
    </row>
    <row r="16" spans="1:5" ht="41.25" customHeight="1" x14ac:dyDescent="0.2">
      <c r="A16" s="19" t="s">
        <v>157</v>
      </c>
      <c r="B16" s="7" t="s">
        <v>9</v>
      </c>
      <c r="C16" s="123">
        <v>1.698</v>
      </c>
      <c r="D16" s="123">
        <v>1.389</v>
      </c>
      <c r="E16" s="143">
        <f t="shared" si="0"/>
        <v>122.2462203023758</v>
      </c>
    </row>
    <row r="17" spans="1:5" ht="18.75" x14ac:dyDescent="0.2">
      <c r="A17" s="55" t="s">
        <v>197</v>
      </c>
      <c r="B17" s="7" t="s">
        <v>9</v>
      </c>
      <c r="C17" s="123">
        <v>0</v>
      </c>
      <c r="D17" s="123">
        <v>0</v>
      </c>
      <c r="E17" s="209"/>
    </row>
    <row r="18" spans="1:5" ht="37.5" x14ac:dyDescent="0.2">
      <c r="A18" s="19" t="s">
        <v>177</v>
      </c>
      <c r="B18" s="7" t="s">
        <v>9</v>
      </c>
      <c r="C18" s="144">
        <v>512.62900000000002</v>
      </c>
      <c r="D18" s="144">
        <v>514.30399999999997</v>
      </c>
      <c r="E18" s="143">
        <f t="shared" si="0"/>
        <v>99.674317135390751</v>
      </c>
    </row>
    <row r="19" spans="1:5" ht="18.75" x14ac:dyDescent="0.2">
      <c r="A19" s="163" t="s">
        <v>196</v>
      </c>
      <c r="B19" s="164" t="s">
        <v>9</v>
      </c>
      <c r="C19" s="144">
        <v>60.22</v>
      </c>
      <c r="D19" s="144">
        <v>49.185000000000002</v>
      </c>
      <c r="E19" s="143">
        <f t="shared" si="0"/>
        <v>122.43570194164887</v>
      </c>
    </row>
    <row r="20" spans="1:5" ht="37.5" x14ac:dyDescent="0.2">
      <c r="A20" s="336" t="s">
        <v>330</v>
      </c>
      <c r="B20" s="164" t="s">
        <v>9</v>
      </c>
      <c r="C20" s="144">
        <v>12.67</v>
      </c>
      <c r="D20" s="144">
        <v>12.87</v>
      </c>
      <c r="E20" s="143">
        <f t="shared" si="0"/>
        <v>98.445998445998455</v>
      </c>
    </row>
    <row r="21" spans="1:5" ht="18.75" x14ac:dyDescent="0.2">
      <c r="A21" s="163" t="s">
        <v>198</v>
      </c>
      <c r="B21" s="164" t="s">
        <v>9</v>
      </c>
      <c r="C21" s="144">
        <v>3.79</v>
      </c>
      <c r="D21" s="144">
        <v>3.8250000000000002</v>
      </c>
      <c r="E21" s="143">
        <f t="shared" si="0"/>
        <v>99.084967320261427</v>
      </c>
    </row>
    <row r="22" spans="1:5" ht="18.75" x14ac:dyDescent="0.2">
      <c r="A22" s="165" t="s">
        <v>67</v>
      </c>
      <c r="B22" s="164" t="s">
        <v>9</v>
      </c>
      <c r="C22" s="144">
        <v>21.634</v>
      </c>
      <c r="D22" s="144">
        <v>21.216999999999999</v>
      </c>
      <c r="E22" s="143">
        <f t="shared" si="0"/>
        <v>101.96540509968422</v>
      </c>
    </row>
    <row r="23" spans="1:5" ht="72" customHeight="1" x14ac:dyDescent="0.2">
      <c r="A23" s="346" t="s">
        <v>336</v>
      </c>
      <c r="B23" s="166" t="s">
        <v>11</v>
      </c>
      <c r="C23" s="144">
        <f>C7/C88</f>
        <v>50.765743243243236</v>
      </c>
      <c r="D23" s="144">
        <f>D7/D88</f>
        <v>49.178969265870357</v>
      </c>
      <c r="E23" s="143">
        <f t="shared" si="0"/>
        <v>103.22652955330254</v>
      </c>
    </row>
    <row r="24" spans="1:5" ht="47.25" customHeight="1" x14ac:dyDescent="0.2">
      <c r="A24" s="347" t="s">
        <v>337</v>
      </c>
      <c r="B24" s="166" t="s">
        <v>9</v>
      </c>
      <c r="C24" s="144">
        <v>19.335999999999999</v>
      </c>
      <c r="D24" s="144">
        <v>19.161999999999999</v>
      </c>
      <c r="E24" s="143">
        <f t="shared" si="0"/>
        <v>100.9080471767039</v>
      </c>
    </row>
    <row r="25" spans="1:5" ht="18.75" x14ac:dyDescent="0.2">
      <c r="A25" s="414" t="s">
        <v>14</v>
      </c>
      <c r="B25" s="415"/>
      <c r="C25" s="416"/>
      <c r="D25" s="416"/>
      <c r="E25" s="417"/>
    </row>
    <row r="26" spans="1:5" ht="18.75" x14ac:dyDescent="0.2">
      <c r="A26" s="146" t="s">
        <v>178</v>
      </c>
      <c r="B26" s="147"/>
      <c r="C26" s="148"/>
      <c r="D26" s="148"/>
      <c r="E26" s="149"/>
    </row>
    <row r="27" spans="1:5" ht="37.5" x14ac:dyDescent="0.2">
      <c r="A27" s="75" t="s">
        <v>182</v>
      </c>
      <c r="B27" s="150" t="s">
        <v>9</v>
      </c>
      <c r="C27" s="304">
        <f>C30+C33+C36+C39</f>
        <v>78.809999999999988</v>
      </c>
      <c r="D27" s="304">
        <f>D30+D33+D36+D39</f>
        <v>76.724000000000004</v>
      </c>
      <c r="E27" s="194">
        <f t="shared" ref="E27" si="1">C27/D27*100</f>
        <v>102.71883634846981</v>
      </c>
    </row>
    <row r="28" spans="1:5" ht="18.75" x14ac:dyDescent="0.2">
      <c r="A28" s="75" t="s">
        <v>183</v>
      </c>
      <c r="B28" s="150" t="s">
        <v>12</v>
      </c>
      <c r="C28" s="281">
        <v>102</v>
      </c>
      <c r="D28" s="281">
        <v>104</v>
      </c>
      <c r="E28" s="139"/>
    </row>
    <row r="29" spans="1:5" ht="18.75" x14ac:dyDescent="0.2">
      <c r="A29" s="51" t="s">
        <v>75</v>
      </c>
      <c r="B29" s="20"/>
      <c r="C29" s="142"/>
      <c r="D29" s="142"/>
      <c r="E29" s="126"/>
    </row>
    <row r="30" spans="1:5" ht="37.5" x14ac:dyDescent="0.2">
      <c r="A30" s="49" t="s">
        <v>15</v>
      </c>
      <c r="B30" s="6" t="s">
        <v>9</v>
      </c>
      <c r="C30" s="210">
        <v>0</v>
      </c>
      <c r="D30" s="210">
        <v>0</v>
      </c>
      <c r="E30" s="119"/>
    </row>
    <row r="31" spans="1:5" ht="18.75" x14ac:dyDescent="0.2">
      <c r="A31" s="49" t="s">
        <v>159</v>
      </c>
      <c r="B31" s="6" t="s">
        <v>12</v>
      </c>
      <c r="C31" s="140" t="s">
        <v>240</v>
      </c>
      <c r="D31" s="140" t="s">
        <v>240</v>
      </c>
      <c r="E31" s="125"/>
    </row>
    <row r="32" spans="1:5" ht="18.75" x14ac:dyDescent="0.2">
      <c r="A32" s="51" t="s">
        <v>76</v>
      </c>
      <c r="B32" s="20"/>
      <c r="C32" s="142"/>
      <c r="D32" s="142"/>
      <c r="E32" s="126"/>
    </row>
    <row r="33" spans="1:5" ht="37.5" x14ac:dyDescent="0.2">
      <c r="A33" s="49" t="s">
        <v>15</v>
      </c>
      <c r="B33" s="6" t="s">
        <v>9</v>
      </c>
      <c r="C33" s="122">
        <f>C14</f>
        <v>51.320999999999998</v>
      </c>
      <c r="D33" s="122">
        <f>D14</f>
        <v>50.438000000000002</v>
      </c>
      <c r="E33" s="194">
        <f t="shared" ref="E33" si="2">C33/D33*100</f>
        <v>101.7506641817677</v>
      </c>
    </row>
    <row r="34" spans="1:5" ht="18.75" x14ac:dyDescent="0.2">
      <c r="A34" s="49" t="s">
        <v>159</v>
      </c>
      <c r="B34" s="6" t="s">
        <v>12</v>
      </c>
      <c r="C34" s="119">
        <v>110</v>
      </c>
      <c r="D34" s="119">
        <v>102</v>
      </c>
      <c r="E34" s="125"/>
    </row>
    <row r="35" spans="1:5" ht="37.5" x14ac:dyDescent="0.2">
      <c r="A35" s="51" t="s">
        <v>77</v>
      </c>
      <c r="B35" s="20"/>
      <c r="C35" s="142"/>
      <c r="D35" s="142"/>
      <c r="E35" s="126"/>
    </row>
    <row r="36" spans="1:5" ht="37.5" x14ac:dyDescent="0.2">
      <c r="A36" s="49" t="s">
        <v>69</v>
      </c>
      <c r="B36" s="6" t="s">
        <v>9</v>
      </c>
      <c r="C36" s="122">
        <f>C15</f>
        <v>25.791</v>
      </c>
      <c r="D36" s="122">
        <f>D15</f>
        <v>24.896999999999998</v>
      </c>
      <c r="E36" s="194">
        <f t="shared" ref="E36" si="3">C36/D36*100</f>
        <v>103.5907940715749</v>
      </c>
    </row>
    <row r="37" spans="1:5" ht="18.75" x14ac:dyDescent="0.2">
      <c r="A37" s="50" t="s">
        <v>159</v>
      </c>
      <c r="B37" s="7" t="s">
        <v>12</v>
      </c>
      <c r="C37" s="141">
        <v>94</v>
      </c>
      <c r="D37" s="141">
        <v>92</v>
      </c>
      <c r="E37" s="127"/>
    </row>
    <row r="38" spans="1:5" ht="56.25" x14ac:dyDescent="0.2">
      <c r="A38" s="51" t="s">
        <v>152</v>
      </c>
      <c r="B38" s="20"/>
      <c r="C38" s="142"/>
      <c r="D38" s="142"/>
      <c r="E38" s="126"/>
    </row>
    <row r="39" spans="1:5" ht="37.5" x14ac:dyDescent="0.2">
      <c r="A39" s="49" t="s">
        <v>69</v>
      </c>
      <c r="B39" s="6" t="s">
        <v>9</v>
      </c>
      <c r="C39" s="226">
        <f>C16</f>
        <v>1.698</v>
      </c>
      <c r="D39" s="226">
        <f>D16</f>
        <v>1.389</v>
      </c>
      <c r="E39" s="194">
        <f t="shared" ref="E39" si="4">C39/D39*100</f>
        <v>122.2462203023758</v>
      </c>
    </row>
    <row r="40" spans="1:5" ht="37.5" x14ac:dyDescent="0.2">
      <c r="A40" s="52" t="s">
        <v>179</v>
      </c>
      <c r="B40" s="53"/>
      <c r="C40" s="280"/>
      <c r="D40" s="167"/>
      <c r="E40" s="161"/>
    </row>
    <row r="41" spans="1:5" ht="18.75" x14ac:dyDescent="0.2">
      <c r="A41" s="11" t="s">
        <v>262</v>
      </c>
      <c r="B41" s="9" t="s">
        <v>9</v>
      </c>
      <c r="C41" s="270">
        <v>102.5</v>
      </c>
      <c r="D41" s="270">
        <v>99.2</v>
      </c>
      <c r="E41" s="194">
        <f t="shared" ref="E41" si="5">C41/D41*100</f>
        <v>103.32661290322579</v>
      </c>
    </row>
    <row r="42" spans="1:5" ht="37.5" x14ac:dyDescent="0.2">
      <c r="A42" s="12" t="s">
        <v>263</v>
      </c>
      <c r="B42" s="13" t="s">
        <v>12</v>
      </c>
      <c r="C42" s="231">
        <v>130.1</v>
      </c>
      <c r="D42" s="231">
        <v>82</v>
      </c>
      <c r="E42" s="160"/>
    </row>
    <row r="43" spans="1:5" ht="18.75" x14ac:dyDescent="0.2">
      <c r="A43" s="14" t="s">
        <v>180</v>
      </c>
      <c r="B43" s="15"/>
      <c r="C43" s="281"/>
      <c r="D43" s="169"/>
      <c r="E43" s="157"/>
    </row>
    <row r="44" spans="1:5" ht="18.75" x14ac:dyDescent="0.2">
      <c r="A44" s="16" t="s">
        <v>16</v>
      </c>
      <c r="B44" s="6" t="s">
        <v>9</v>
      </c>
      <c r="C44" s="211" t="s">
        <v>240</v>
      </c>
      <c r="D44" s="158"/>
      <c r="E44" s="143"/>
    </row>
    <row r="45" spans="1:5" ht="18.75" x14ac:dyDescent="0.2">
      <c r="A45" s="16" t="s">
        <v>17</v>
      </c>
      <c r="B45" s="6" t="s">
        <v>18</v>
      </c>
      <c r="C45" s="155">
        <v>748</v>
      </c>
      <c r="D45" s="155">
        <v>1445</v>
      </c>
      <c r="E45" s="194"/>
    </row>
    <row r="46" spans="1:5" ht="18.75" x14ac:dyDescent="0.2">
      <c r="A46" s="12" t="s">
        <v>19</v>
      </c>
      <c r="B46" s="13" t="s">
        <v>18</v>
      </c>
      <c r="C46" s="286">
        <f>ROUND(C45/C88/1000,3)</f>
        <v>5.0999999999999997E-2</v>
      </c>
      <c r="D46" s="286">
        <f>ROUND(D45/D88/1000,3)</f>
        <v>9.7000000000000003E-2</v>
      </c>
      <c r="E46" s="156"/>
    </row>
    <row r="47" spans="1:5" ht="18.75" x14ac:dyDescent="0.2">
      <c r="A47" s="80" t="s">
        <v>181</v>
      </c>
      <c r="B47" s="10"/>
      <c r="C47" s="153"/>
      <c r="D47" s="153"/>
      <c r="E47" s="154"/>
    </row>
    <row r="48" spans="1:5" ht="18.75" x14ac:dyDescent="0.2">
      <c r="A48" s="81" t="s">
        <v>20</v>
      </c>
      <c r="B48" s="6" t="s">
        <v>21</v>
      </c>
      <c r="C48" s="155">
        <v>425</v>
      </c>
      <c r="D48" s="155">
        <v>355</v>
      </c>
      <c r="E48" s="194">
        <f t="shared" ref="E48" si="6">C48/D48*100</f>
        <v>119.71830985915493</v>
      </c>
    </row>
    <row r="49" spans="1:5" ht="18.75" x14ac:dyDescent="0.2">
      <c r="A49" s="82" t="s">
        <v>22</v>
      </c>
      <c r="B49" s="9" t="s">
        <v>23</v>
      </c>
      <c r="C49" s="153">
        <f xml:space="preserve"> 2621.4+891+193</f>
        <v>3705.4</v>
      </c>
      <c r="D49" s="153">
        <f>2852.7+840.5+211</f>
        <v>3904.2</v>
      </c>
      <c r="E49" s="156">
        <f t="shared" ref="E49:E51" si="7">C49/D49*100</f>
        <v>94.908047743455768</v>
      </c>
    </row>
    <row r="50" spans="1:5" ht="37.5" x14ac:dyDescent="0.2">
      <c r="A50" s="14" t="s">
        <v>158</v>
      </c>
      <c r="B50" s="15"/>
      <c r="C50" s="200"/>
      <c r="D50" s="200"/>
      <c r="E50" s="157"/>
    </row>
    <row r="51" spans="1:5" ht="18.75" x14ac:dyDescent="0.2">
      <c r="A51" s="16" t="s">
        <v>24</v>
      </c>
      <c r="B51" s="6" t="s">
        <v>9</v>
      </c>
      <c r="C51" s="123">
        <f>C18</f>
        <v>512.62900000000002</v>
      </c>
      <c r="D51" s="144">
        <f>D18</f>
        <v>514.30399999999997</v>
      </c>
      <c r="E51" s="225">
        <f t="shared" si="7"/>
        <v>99.674317135390751</v>
      </c>
    </row>
    <row r="52" spans="1:5" ht="18.75" x14ac:dyDescent="0.2">
      <c r="A52" s="12" t="s">
        <v>25</v>
      </c>
      <c r="B52" s="13" t="s">
        <v>12</v>
      </c>
      <c r="C52" s="237">
        <v>98</v>
      </c>
      <c r="D52" s="237">
        <v>99.5</v>
      </c>
      <c r="E52" s="232"/>
    </row>
    <row r="53" spans="1:5" ht="18.75" x14ac:dyDescent="0.2">
      <c r="A53" s="14" t="s">
        <v>26</v>
      </c>
      <c r="B53" s="15"/>
      <c r="C53" s="126"/>
      <c r="D53" s="126"/>
      <c r="E53" s="157"/>
    </row>
    <row r="54" spans="1:5" ht="18.75" x14ac:dyDescent="0.2">
      <c r="A54" s="16" t="s">
        <v>27</v>
      </c>
      <c r="B54" s="6" t="s">
        <v>28</v>
      </c>
      <c r="C54" s="119">
        <f>C56+C60+C61+C62+C63+C64+C65+C66+C67+C68</f>
        <v>12</v>
      </c>
      <c r="D54" s="119">
        <f>D56+D60+D61+D62+D63+D64+D65+D66+D67+D68</f>
        <v>11</v>
      </c>
      <c r="E54" s="168">
        <f>C54/D54*100</f>
        <v>109.09090909090908</v>
      </c>
    </row>
    <row r="55" spans="1:5" ht="18.75" x14ac:dyDescent="0.2">
      <c r="A55" s="348" t="s">
        <v>338</v>
      </c>
      <c r="B55" s="349"/>
      <c r="C55" s="270"/>
      <c r="D55" s="270"/>
      <c r="E55" s="168"/>
    </row>
    <row r="56" spans="1:5" ht="37.5" x14ac:dyDescent="0.2">
      <c r="A56" s="348" t="s">
        <v>269</v>
      </c>
      <c r="B56" s="349" t="s">
        <v>28</v>
      </c>
      <c r="C56" s="270">
        <f>C57+C58</f>
        <v>2</v>
      </c>
      <c r="D56" s="270">
        <f>D57+D58</f>
        <v>2</v>
      </c>
      <c r="E56" s="168">
        <f t="shared" ref="E56:E58" si="8">C56/D56*100</f>
        <v>100</v>
      </c>
    </row>
    <row r="57" spans="1:5" ht="37.5" x14ac:dyDescent="0.2">
      <c r="A57" s="348" t="s">
        <v>176</v>
      </c>
      <c r="B57" s="349" t="s">
        <v>28</v>
      </c>
      <c r="C57" s="270">
        <v>0</v>
      </c>
      <c r="D57" s="270">
        <v>0</v>
      </c>
      <c r="E57" s="168"/>
    </row>
    <row r="58" spans="1:5" ht="18.75" x14ac:dyDescent="0.2">
      <c r="A58" s="348" t="s">
        <v>154</v>
      </c>
      <c r="B58" s="349" t="s">
        <v>28</v>
      </c>
      <c r="C58" s="270">
        <v>2</v>
      </c>
      <c r="D58" s="270">
        <v>2</v>
      </c>
      <c r="E58" s="168">
        <f t="shared" si="8"/>
        <v>100</v>
      </c>
    </row>
    <row r="59" spans="1:5" ht="18.75" x14ac:dyDescent="0.2">
      <c r="A59" s="348" t="s">
        <v>155</v>
      </c>
      <c r="B59" s="349" t="s">
        <v>28</v>
      </c>
      <c r="C59" s="270"/>
      <c r="D59" s="270"/>
      <c r="E59" s="168"/>
    </row>
    <row r="60" spans="1:5" ht="18.75" x14ac:dyDescent="0.2">
      <c r="A60" s="348" t="s">
        <v>62</v>
      </c>
      <c r="B60" s="349" t="s">
        <v>28</v>
      </c>
      <c r="C60" s="270"/>
      <c r="D60" s="270"/>
      <c r="E60" s="168"/>
    </row>
    <row r="61" spans="1:5" ht="18.75" x14ac:dyDescent="0.2">
      <c r="A61" s="348" t="s">
        <v>63</v>
      </c>
      <c r="B61" s="349" t="s">
        <v>28</v>
      </c>
      <c r="C61" s="270">
        <v>2</v>
      </c>
      <c r="D61" s="270">
        <v>2</v>
      </c>
      <c r="E61" s="168">
        <f t="shared" ref="E61" si="9">C61/D61*100</f>
        <v>100</v>
      </c>
    </row>
    <row r="62" spans="1:5" ht="37.5" x14ac:dyDescent="0.2">
      <c r="A62" s="348" t="s">
        <v>156</v>
      </c>
      <c r="B62" s="349" t="s">
        <v>28</v>
      </c>
      <c r="C62" s="270"/>
      <c r="D62" s="270"/>
      <c r="E62" s="168"/>
    </row>
    <row r="63" spans="1:5" ht="56.25" x14ac:dyDescent="0.2">
      <c r="A63" s="348" t="s">
        <v>157</v>
      </c>
      <c r="B63" s="349" t="s">
        <v>28</v>
      </c>
      <c r="C63" s="270"/>
      <c r="D63" s="270"/>
      <c r="E63" s="168"/>
    </row>
    <row r="64" spans="1:5" ht="18.75" x14ac:dyDescent="0.2">
      <c r="A64" s="348" t="s">
        <v>197</v>
      </c>
      <c r="B64" s="349" t="s">
        <v>28</v>
      </c>
      <c r="C64" s="270"/>
      <c r="D64" s="270"/>
      <c r="E64" s="168"/>
    </row>
    <row r="65" spans="1:5" ht="37.5" x14ac:dyDescent="0.2">
      <c r="A65" s="348" t="s">
        <v>177</v>
      </c>
      <c r="B65" s="349" t="s">
        <v>28</v>
      </c>
      <c r="C65" s="270">
        <v>7</v>
      </c>
      <c r="D65" s="270">
        <v>7</v>
      </c>
      <c r="E65" s="168">
        <f t="shared" ref="E65" si="10">C65/D65*100</f>
        <v>100</v>
      </c>
    </row>
    <row r="66" spans="1:5" ht="18.75" x14ac:dyDescent="0.2">
      <c r="A66" s="350" t="s">
        <v>196</v>
      </c>
      <c r="B66" s="349" t="s">
        <v>28</v>
      </c>
      <c r="C66" s="270">
        <v>1</v>
      </c>
      <c r="D66" s="270">
        <v>0</v>
      </c>
      <c r="E66" s="168"/>
    </row>
    <row r="67" spans="1:5" ht="18.75" x14ac:dyDescent="0.2">
      <c r="A67" s="350" t="s">
        <v>198</v>
      </c>
      <c r="B67" s="349" t="s">
        <v>28</v>
      </c>
      <c r="C67" s="270"/>
      <c r="D67" s="270"/>
      <c r="E67" s="168"/>
    </row>
    <row r="68" spans="1:5" ht="18.75" x14ac:dyDescent="0.2">
      <c r="A68" s="348" t="s">
        <v>67</v>
      </c>
      <c r="B68" s="349" t="s">
        <v>28</v>
      </c>
      <c r="C68" s="270"/>
      <c r="D68" s="270"/>
      <c r="E68" s="168"/>
    </row>
    <row r="69" spans="1:5" ht="37.5" x14ac:dyDescent="0.2">
      <c r="A69" s="12" t="s">
        <v>29</v>
      </c>
      <c r="B69" s="13" t="s">
        <v>12</v>
      </c>
      <c r="C69" s="287">
        <f>(C7- 68.793)/C7*100</f>
        <v>90.843873488852481</v>
      </c>
      <c r="D69" s="287">
        <f>(D7-57.015)/D7*100</f>
        <v>92.220258847127369</v>
      </c>
      <c r="E69" s="168">
        <f>C69/D69*100</f>
        <v>98.507502174162724</v>
      </c>
    </row>
    <row r="70" spans="1:5" ht="21" customHeight="1" x14ac:dyDescent="0.2">
      <c r="A70" s="353" t="s">
        <v>339</v>
      </c>
      <c r="B70" s="349" t="s">
        <v>28</v>
      </c>
      <c r="C70" s="119">
        <f>C72+C76+C77+C78+C79+C80+C81+C82+C83+C84</f>
        <v>270</v>
      </c>
      <c r="D70" s="119">
        <f>D72+D76+D77+D78+D79+D80+D81+D82+D83+D84</f>
        <v>266</v>
      </c>
      <c r="E70" s="168">
        <f t="shared" ref="E70:E84" si="11">C70/D70*100</f>
        <v>101.50375939849626</v>
      </c>
    </row>
    <row r="71" spans="1:5" ht="18.75" x14ac:dyDescent="0.2">
      <c r="A71" s="348" t="s">
        <v>338</v>
      </c>
      <c r="B71" s="349"/>
      <c r="C71" s="351"/>
      <c r="D71" s="351"/>
      <c r="E71" s="168"/>
    </row>
    <row r="72" spans="1:5" ht="37.5" x14ac:dyDescent="0.2">
      <c r="A72" s="348" t="s">
        <v>269</v>
      </c>
      <c r="B72" s="349" t="s">
        <v>28</v>
      </c>
      <c r="C72" s="351">
        <v>35</v>
      </c>
      <c r="D72" s="351">
        <v>40</v>
      </c>
      <c r="E72" s="168">
        <f t="shared" si="11"/>
        <v>87.5</v>
      </c>
    </row>
    <row r="73" spans="1:5" ht="37.5" x14ac:dyDescent="0.2">
      <c r="A73" s="348" t="s">
        <v>176</v>
      </c>
      <c r="B73" s="349" t="s">
        <v>28</v>
      </c>
      <c r="C73" s="351"/>
      <c r="D73" s="351"/>
      <c r="E73" s="168"/>
    </row>
    <row r="74" spans="1:5" ht="18.75" x14ac:dyDescent="0.2">
      <c r="A74" s="348" t="s">
        <v>154</v>
      </c>
      <c r="B74" s="349" t="s">
        <v>28</v>
      </c>
      <c r="C74" s="351">
        <v>10</v>
      </c>
      <c r="D74" s="351">
        <v>10</v>
      </c>
      <c r="E74" s="168">
        <f t="shared" si="11"/>
        <v>100</v>
      </c>
    </row>
    <row r="75" spans="1:5" ht="18.75" x14ac:dyDescent="0.2">
      <c r="A75" s="348" t="s">
        <v>155</v>
      </c>
      <c r="B75" s="349" t="s">
        <v>28</v>
      </c>
      <c r="C75" s="351"/>
      <c r="D75" s="351"/>
      <c r="E75" s="168"/>
    </row>
    <row r="76" spans="1:5" ht="18.75" x14ac:dyDescent="0.2">
      <c r="A76" s="348" t="s">
        <v>62</v>
      </c>
      <c r="B76" s="349" t="s">
        <v>28</v>
      </c>
      <c r="C76" s="351"/>
      <c r="D76" s="351"/>
      <c r="E76" s="168"/>
    </row>
    <row r="77" spans="1:5" ht="18.75" x14ac:dyDescent="0.2">
      <c r="A77" s="348" t="s">
        <v>63</v>
      </c>
      <c r="B77" s="349" t="s">
        <v>28</v>
      </c>
      <c r="C77" s="351">
        <v>9</v>
      </c>
      <c r="D77" s="351">
        <v>8</v>
      </c>
      <c r="E77" s="168">
        <f t="shared" si="11"/>
        <v>112.5</v>
      </c>
    </row>
    <row r="78" spans="1:5" ht="37.5" x14ac:dyDescent="0.2">
      <c r="A78" s="348" t="s">
        <v>156</v>
      </c>
      <c r="B78" s="349" t="s">
        <v>28</v>
      </c>
      <c r="C78" s="351"/>
      <c r="D78" s="351"/>
      <c r="E78" s="168"/>
    </row>
    <row r="79" spans="1:5" ht="56.25" x14ac:dyDescent="0.2">
      <c r="A79" s="348" t="s">
        <v>157</v>
      </c>
      <c r="B79" s="349" t="s">
        <v>28</v>
      </c>
      <c r="C79" s="351"/>
      <c r="D79" s="351"/>
      <c r="E79" s="168"/>
    </row>
    <row r="80" spans="1:5" ht="18.75" x14ac:dyDescent="0.2">
      <c r="A80" s="348" t="s">
        <v>197</v>
      </c>
      <c r="B80" s="349" t="s">
        <v>28</v>
      </c>
      <c r="C80" s="351"/>
      <c r="D80" s="351"/>
      <c r="E80" s="168"/>
    </row>
    <row r="81" spans="1:5" ht="37.5" x14ac:dyDescent="0.2">
      <c r="A81" s="348" t="s">
        <v>177</v>
      </c>
      <c r="B81" s="349" t="s">
        <v>28</v>
      </c>
      <c r="C81" s="351">
        <v>156</v>
      </c>
      <c r="D81" s="351">
        <v>149</v>
      </c>
      <c r="E81" s="168">
        <f t="shared" si="11"/>
        <v>104.69798657718121</v>
      </c>
    </row>
    <row r="82" spans="1:5" ht="18.75" x14ac:dyDescent="0.2">
      <c r="A82" s="350" t="s">
        <v>196</v>
      </c>
      <c r="B82" s="349" t="s">
        <v>28</v>
      </c>
      <c r="C82" s="351">
        <v>17</v>
      </c>
      <c r="D82" s="351">
        <v>17</v>
      </c>
      <c r="E82" s="168">
        <f t="shared" si="11"/>
        <v>100</v>
      </c>
    </row>
    <row r="83" spans="1:5" ht="18.75" x14ac:dyDescent="0.2">
      <c r="A83" s="350" t="s">
        <v>198</v>
      </c>
      <c r="B83" s="349" t="s">
        <v>28</v>
      </c>
      <c r="C83" s="351">
        <v>1</v>
      </c>
      <c r="D83" s="351">
        <v>1</v>
      </c>
      <c r="E83" s="168">
        <f t="shared" si="11"/>
        <v>100</v>
      </c>
    </row>
    <row r="84" spans="1:5" ht="18.75" x14ac:dyDescent="0.2">
      <c r="A84" s="348" t="s">
        <v>67</v>
      </c>
      <c r="B84" s="349" t="s">
        <v>28</v>
      </c>
      <c r="C84" s="351">
        <v>52</v>
      </c>
      <c r="D84" s="351">
        <v>51</v>
      </c>
      <c r="E84" s="168">
        <f t="shared" si="11"/>
        <v>101.96078431372548</v>
      </c>
    </row>
    <row r="85" spans="1:5" ht="19.5" x14ac:dyDescent="0.2">
      <c r="A85" s="3" t="s">
        <v>78</v>
      </c>
      <c r="B85" s="9" t="s">
        <v>11</v>
      </c>
      <c r="C85" s="509">
        <f>1500+C86</f>
        <v>77856.3</v>
      </c>
      <c r="D85" s="301">
        <v>2467.67</v>
      </c>
      <c r="E85" s="266">
        <f>C85/D85*100</f>
        <v>3155.053147300895</v>
      </c>
    </row>
    <row r="86" spans="1:5" ht="18" customHeight="1" x14ac:dyDescent="0.2">
      <c r="A86" s="17" t="s">
        <v>30</v>
      </c>
      <c r="B86" s="18" t="s">
        <v>11</v>
      </c>
      <c r="C86" s="509">
        <v>76356.3</v>
      </c>
      <c r="D86" s="301">
        <v>467.67</v>
      </c>
      <c r="E86" s="266">
        <f>C86/D86*100</f>
        <v>16326.961318878697</v>
      </c>
    </row>
    <row r="87" spans="1:5" ht="18.75" x14ac:dyDescent="0.2">
      <c r="A87" s="418" t="s">
        <v>340</v>
      </c>
      <c r="B87" s="419"/>
      <c r="C87" s="419"/>
      <c r="D87" s="419"/>
      <c r="E87" s="420"/>
    </row>
    <row r="88" spans="1:5" ht="19.5" x14ac:dyDescent="0.2">
      <c r="A88" s="56" t="s">
        <v>341</v>
      </c>
      <c r="B88" s="4" t="s">
        <v>32</v>
      </c>
      <c r="C88" s="354">
        <v>14.8</v>
      </c>
      <c r="D88" s="354">
        <v>14.901999999999999</v>
      </c>
      <c r="E88" s="194">
        <f t="shared" ref="E88" si="12">C88/D88*100</f>
        <v>99.315528117031278</v>
      </c>
    </row>
    <row r="89" spans="1:5" ht="39" x14ac:dyDescent="0.2">
      <c r="A89" s="54" t="s">
        <v>34</v>
      </c>
      <c r="B89" s="6" t="s">
        <v>12</v>
      </c>
      <c r="C89" s="335">
        <v>0.28000000000000003</v>
      </c>
      <c r="D89" s="128">
        <v>0.7</v>
      </c>
      <c r="E89" s="159">
        <f>C89/D89*100</f>
        <v>40.000000000000007</v>
      </c>
    </row>
    <row r="90" spans="1:5" ht="52.5" customHeight="1" x14ac:dyDescent="0.2">
      <c r="A90" s="355" t="s">
        <v>342</v>
      </c>
      <c r="B90" s="164" t="s">
        <v>32</v>
      </c>
      <c r="C90" s="171">
        <f>C92+C97+C98+C99+C100+C101+C102+C103+C104+C105+C106+C107</f>
        <v>4.0039999999999996</v>
      </c>
      <c r="D90" s="171">
        <f>D92+D97+D98+D99+D100+D101+D102+D103+D104+D105+D106+D107</f>
        <v>3.9940000000000002</v>
      </c>
      <c r="E90" s="143">
        <f>C90/D90*100</f>
        <v>100.25037556334499</v>
      </c>
    </row>
    <row r="91" spans="1:5" ht="19.5" x14ac:dyDescent="0.2">
      <c r="A91" s="172" t="s">
        <v>33</v>
      </c>
      <c r="B91" s="173"/>
      <c r="C91" s="174"/>
      <c r="D91" s="174"/>
      <c r="E91" s="143"/>
    </row>
    <row r="92" spans="1:5" ht="37.5" x14ac:dyDescent="0.2">
      <c r="A92" s="163" t="s">
        <v>269</v>
      </c>
      <c r="B92" s="170" t="s">
        <v>32</v>
      </c>
      <c r="C92" s="171">
        <f>C93+C94</f>
        <v>0.108</v>
      </c>
      <c r="D92" s="171">
        <f>D93+D94</f>
        <v>0.114</v>
      </c>
      <c r="E92" s="143">
        <f>C92/D92*100</f>
        <v>94.73684210526315</v>
      </c>
    </row>
    <row r="93" spans="1:5" ht="37.5" x14ac:dyDescent="0.2">
      <c r="A93" s="163" t="s">
        <v>176</v>
      </c>
      <c r="B93" s="170" t="s">
        <v>32</v>
      </c>
      <c r="C93" s="155">
        <v>6.4000000000000001E-2</v>
      </c>
      <c r="D93" s="155">
        <v>8.1000000000000003E-2</v>
      </c>
      <c r="E93" s="143">
        <f>C93/D93*100</f>
        <v>79.012345679012341</v>
      </c>
    </row>
    <row r="94" spans="1:5" ht="18.75" x14ac:dyDescent="0.2">
      <c r="A94" s="163" t="s">
        <v>154</v>
      </c>
      <c r="B94" s="164" t="s">
        <v>32</v>
      </c>
      <c r="C94" s="161">
        <v>4.3999999999999997E-2</v>
      </c>
      <c r="D94" s="161">
        <v>3.3000000000000002E-2</v>
      </c>
      <c r="E94" s="143">
        <f t="shared" ref="E94:E106" si="13">C94/D94*100</f>
        <v>133.33333333333331</v>
      </c>
    </row>
    <row r="95" spans="1:5" ht="18.75" x14ac:dyDescent="0.2">
      <c r="A95" s="163" t="s">
        <v>155</v>
      </c>
      <c r="B95" s="164" t="s">
        <v>32</v>
      </c>
      <c r="C95" s="161"/>
      <c r="D95" s="161"/>
      <c r="E95" s="143"/>
    </row>
    <row r="96" spans="1:5" ht="18.75" x14ac:dyDescent="0.2">
      <c r="A96" s="165" t="s">
        <v>62</v>
      </c>
      <c r="B96" s="164" t="s">
        <v>32</v>
      </c>
      <c r="C96" s="161"/>
      <c r="D96" s="161"/>
      <c r="E96" s="143"/>
    </row>
    <row r="97" spans="1:5" ht="18.75" x14ac:dyDescent="0.2">
      <c r="A97" s="55" t="s">
        <v>63</v>
      </c>
      <c r="B97" s="7" t="s">
        <v>32</v>
      </c>
      <c r="C97" s="123">
        <v>0.158</v>
      </c>
      <c r="D97" s="118">
        <v>0.157</v>
      </c>
      <c r="E97" s="143">
        <f t="shared" si="13"/>
        <v>100.63694267515923</v>
      </c>
    </row>
    <row r="98" spans="1:5" ht="37.5" x14ac:dyDescent="0.2">
      <c r="A98" s="19" t="s">
        <v>156</v>
      </c>
      <c r="B98" s="7" t="s">
        <v>32</v>
      </c>
      <c r="C98" s="130">
        <v>4.8000000000000001E-2</v>
      </c>
      <c r="D98" s="130">
        <v>4.8000000000000001E-2</v>
      </c>
      <c r="E98" s="143">
        <f t="shared" si="13"/>
        <v>100</v>
      </c>
    </row>
    <row r="99" spans="1:5" ht="56.25" x14ac:dyDescent="0.2">
      <c r="A99" s="19" t="s">
        <v>157</v>
      </c>
      <c r="B99" s="7" t="s">
        <v>32</v>
      </c>
      <c r="C99" s="120">
        <v>2.1000000000000001E-2</v>
      </c>
      <c r="D99" s="120">
        <v>0.02</v>
      </c>
      <c r="E99" s="143">
        <f t="shared" si="13"/>
        <v>105</v>
      </c>
    </row>
    <row r="100" spans="1:5" ht="18.75" x14ac:dyDescent="0.2">
      <c r="A100" s="55" t="s">
        <v>197</v>
      </c>
      <c r="B100" s="7" t="s">
        <v>32</v>
      </c>
      <c r="C100" s="120">
        <v>0</v>
      </c>
      <c r="D100" s="120">
        <v>0</v>
      </c>
      <c r="E100" s="143"/>
    </row>
    <row r="101" spans="1:5" ht="37.5" x14ac:dyDescent="0.2">
      <c r="A101" s="19" t="s">
        <v>158</v>
      </c>
      <c r="B101" s="7" t="s">
        <v>32</v>
      </c>
      <c r="C101" s="145">
        <v>0.29899999999999999</v>
      </c>
      <c r="D101" s="145">
        <v>0.3</v>
      </c>
      <c r="E101" s="143">
        <f t="shared" si="13"/>
        <v>99.666666666666671</v>
      </c>
    </row>
    <row r="102" spans="1:5" ht="18.75" x14ac:dyDescent="0.2">
      <c r="A102" s="19" t="s">
        <v>196</v>
      </c>
      <c r="B102" s="7" t="s">
        <v>32</v>
      </c>
      <c r="C102" s="130">
        <v>0.13700000000000001</v>
      </c>
      <c r="D102" s="130">
        <v>0.13700000000000001</v>
      </c>
      <c r="E102" s="143">
        <v>101</v>
      </c>
    </row>
    <row r="103" spans="1:5" ht="18.75" x14ac:dyDescent="0.2">
      <c r="A103" s="19" t="s">
        <v>198</v>
      </c>
      <c r="B103" s="7" t="s">
        <v>32</v>
      </c>
      <c r="C103" s="120">
        <v>5.8000000000000003E-2</v>
      </c>
      <c r="D103" s="120">
        <v>5.8000000000000003E-2</v>
      </c>
      <c r="E103" s="143">
        <f t="shared" si="13"/>
        <v>100</v>
      </c>
    </row>
    <row r="104" spans="1:5" ht="37.5" x14ac:dyDescent="0.2">
      <c r="A104" s="19" t="s">
        <v>61</v>
      </c>
      <c r="B104" s="7" t="s">
        <v>32</v>
      </c>
      <c r="C104" s="145">
        <v>0.36099999999999999</v>
      </c>
      <c r="D104" s="175">
        <v>0.36899999999999999</v>
      </c>
      <c r="E104" s="143">
        <f t="shared" si="13"/>
        <v>97.831978319783204</v>
      </c>
    </row>
    <row r="105" spans="1:5" ht="18.75" x14ac:dyDescent="0.3">
      <c r="A105" s="8" t="s">
        <v>64</v>
      </c>
      <c r="B105" s="7" t="s">
        <v>32</v>
      </c>
      <c r="C105" s="145">
        <v>1.1819999999999999</v>
      </c>
      <c r="D105" s="145">
        <v>1.1850000000000001</v>
      </c>
      <c r="E105" s="143">
        <f t="shared" si="13"/>
        <v>99.746835443037966</v>
      </c>
    </row>
    <row r="106" spans="1:5" ht="18.75" x14ac:dyDescent="0.3">
      <c r="A106" s="8" t="s">
        <v>65</v>
      </c>
      <c r="B106" s="7" t="s">
        <v>32</v>
      </c>
      <c r="C106" s="145">
        <v>0.38700000000000001</v>
      </c>
      <c r="D106" s="145">
        <v>0.38100000000000001</v>
      </c>
      <c r="E106" s="143">
        <f t="shared" si="13"/>
        <v>101.5748031496063</v>
      </c>
    </row>
    <row r="107" spans="1:5" ht="18.75" x14ac:dyDescent="0.3">
      <c r="A107" s="8" t="s">
        <v>67</v>
      </c>
      <c r="B107" s="7" t="s">
        <v>32</v>
      </c>
      <c r="C107" s="145">
        <v>1.2450000000000001</v>
      </c>
      <c r="D107" s="175">
        <v>1.2250000000000001</v>
      </c>
      <c r="E107" s="143">
        <f>C107/D107*100</f>
        <v>101.63265306122449</v>
      </c>
    </row>
    <row r="108" spans="1:5" ht="75" x14ac:dyDescent="0.3">
      <c r="A108" s="41" t="s">
        <v>74</v>
      </c>
      <c r="B108" s="6" t="s">
        <v>32</v>
      </c>
      <c r="C108" s="145">
        <f>C110</f>
        <v>0.41900000000000004</v>
      </c>
      <c r="D108" s="145">
        <f>D110</f>
        <v>0.42600000000000005</v>
      </c>
      <c r="E108" s="143">
        <f>C108/D108*100</f>
        <v>98.356807511737088</v>
      </c>
    </row>
    <row r="109" spans="1:5" ht="18.75" x14ac:dyDescent="0.3">
      <c r="A109" s="42" t="s">
        <v>66</v>
      </c>
      <c r="B109" s="21"/>
      <c r="C109" s="120"/>
      <c r="D109" s="120"/>
      <c r="E109" s="128"/>
    </row>
    <row r="110" spans="1:5" ht="37.5" x14ac:dyDescent="0.2">
      <c r="A110" s="19" t="s">
        <v>241</v>
      </c>
      <c r="B110" s="7"/>
      <c r="C110" s="145">
        <f>SUM(C111:C113)</f>
        <v>0.41900000000000004</v>
      </c>
      <c r="D110" s="145">
        <f>SUM(D111:D113)</f>
        <v>0.42600000000000005</v>
      </c>
      <c r="E110" s="143">
        <f>C110/D110*100</f>
        <v>98.356807511737088</v>
      </c>
    </row>
    <row r="111" spans="1:5" ht="18.75" x14ac:dyDescent="0.3">
      <c r="A111" s="8" t="s">
        <v>242</v>
      </c>
      <c r="B111" s="7" t="s">
        <v>32</v>
      </c>
      <c r="C111" s="174">
        <v>0.112</v>
      </c>
      <c r="D111" s="174">
        <v>0.112</v>
      </c>
      <c r="E111" s="159">
        <v>108</v>
      </c>
    </row>
    <row r="112" spans="1:5" ht="18.75" x14ac:dyDescent="0.3">
      <c r="A112" s="8" t="s">
        <v>64</v>
      </c>
      <c r="B112" s="7" t="s">
        <v>32</v>
      </c>
      <c r="C112" s="145">
        <v>8.5999999999999993E-2</v>
      </c>
      <c r="D112" s="145">
        <v>9.1999999999999998E-2</v>
      </c>
      <c r="E112" s="159">
        <f>C112/D112*100</f>
        <v>93.478260869565204</v>
      </c>
    </row>
    <row r="113" spans="1:5" ht="18.75" x14ac:dyDescent="0.3">
      <c r="A113" s="8" t="s">
        <v>68</v>
      </c>
      <c r="B113" s="6" t="s">
        <v>31</v>
      </c>
      <c r="C113" s="174">
        <v>0.221</v>
      </c>
      <c r="D113" s="174">
        <v>0.222</v>
      </c>
      <c r="E113" s="159">
        <f>C113/D113*100</f>
        <v>99.549549549549553</v>
      </c>
    </row>
    <row r="114" spans="1:5" ht="58.5" x14ac:dyDescent="0.2">
      <c r="A114" s="353" t="s">
        <v>343</v>
      </c>
      <c r="B114" s="7" t="s">
        <v>13</v>
      </c>
      <c r="C114" s="236">
        <f>C139/C90/3*1000</f>
        <v>48196.386946386949</v>
      </c>
      <c r="D114" s="236">
        <f>D139/D90/3*1000</f>
        <v>45207.227507928561</v>
      </c>
      <c r="E114" s="159">
        <f>C114/D114*100</f>
        <v>106.61212731511603</v>
      </c>
    </row>
    <row r="115" spans="1:5" ht="19.5" x14ac:dyDescent="0.2">
      <c r="A115" s="3" t="s">
        <v>33</v>
      </c>
      <c r="B115" s="21"/>
      <c r="C115" s="174"/>
      <c r="D115" s="174"/>
      <c r="E115" s="143"/>
    </row>
    <row r="116" spans="1:5" ht="37.5" x14ac:dyDescent="0.2">
      <c r="A116" s="19" t="s">
        <v>153</v>
      </c>
      <c r="B116" s="6" t="s">
        <v>13</v>
      </c>
      <c r="C116" s="155">
        <v>21145</v>
      </c>
      <c r="D116" s="155">
        <v>18707</v>
      </c>
      <c r="E116" s="159">
        <f>C116/D116*100</f>
        <v>113.03255465868392</v>
      </c>
    </row>
    <row r="117" spans="1:5" ht="37.5" x14ac:dyDescent="0.2">
      <c r="A117" s="19" t="s">
        <v>176</v>
      </c>
      <c r="B117" s="6" t="s">
        <v>13</v>
      </c>
      <c r="C117" s="155">
        <v>18172</v>
      </c>
      <c r="D117" s="155">
        <v>15321</v>
      </c>
      <c r="E117" s="159">
        <f t="shared" ref="E117:E118" si="14">C117/D117*100</f>
        <v>118.6084459238953</v>
      </c>
    </row>
    <row r="118" spans="1:5" ht="18.75" x14ac:dyDescent="0.2">
      <c r="A118" s="19" t="s">
        <v>154</v>
      </c>
      <c r="B118" s="7" t="s">
        <v>13</v>
      </c>
      <c r="C118" s="161">
        <v>25470</v>
      </c>
      <c r="D118" s="161">
        <v>24939</v>
      </c>
      <c r="E118" s="159">
        <f t="shared" si="14"/>
        <v>102.12919523637676</v>
      </c>
    </row>
    <row r="119" spans="1:5" ht="18.75" x14ac:dyDescent="0.2">
      <c r="A119" s="19" t="s">
        <v>155</v>
      </c>
      <c r="B119" s="7" t="s">
        <v>13</v>
      </c>
      <c r="C119" s="161"/>
      <c r="D119" s="161"/>
      <c r="E119" s="143"/>
    </row>
    <row r="120" spans="1:5" ht="18.75" x14ac:dyDescent="0.2">
      <c r="A120" s="55" t="s">
        <v>62</v>
      </c>
      <c r="B120" s="7" t="s">
        <v>13</v>
      </c>
      <c r="C120" s="161"/>
      <c r="D120" s="161"/>
      <c r="E120" s="143"/>
    </row>
    <row r="121" spans="1:5" ht="18.75" x14ac:dyDescent="0.2">
      <c r="A121" s="55" t="s">
        <v>63</v>
      </c>
      <c r="B121" s="7" t="s">
        <v>13</v>
      </c>
      <c r="C121" s="161">
        <v>24013</v>
      </c>
      <c r="D121" s="161">
        <v>22771</v>
      </c>
      <c r="E121" s="159">
        <f t="shared" ref="E121:E134" si="15">C121/D121*100</f>
        <v>105.45430591541873</v>
      </c>
    </row>
    <row r="122" spans="1:5" ht="37.5" x14ac:dyDescent="0.2">
      <c r="A122" s="19" t="s">
        <v>156</v>
      </c>
      <c r="B122" s="7" t="s">
        <v>13</v>
      </c>
      <c r="C122" s="161">
        <v>58028</v>
      </c>
      <c r="D122" s="161">
        <v>55208</v>
      </c>
      <c r="E122" s="159">
        <f t="shared" si="15"/>
        <v>105.10795536878715</v>
      </c>
    </row>
    <row r="123" spans="1:5" ht="56.25" x14ac:dyDescent="0.2">
      <c r="A123" s="19" t="s">
        <v>157</v>
      </c>
      <c r="B123" s="7" t="s">
        <v>13</v>
      </c>
      <c r="C123" s="161">
        <v>56190</v>
      </c>
      <c r="D123" s="161">
        <v>53267</v>
      </c>
      <c r="E123" s="159">
        <f t="shared" si="15"/>
        <v>105.48745001595734</v>
      </c>
    </row>
    <row r="124" spans="1:5" ht="18.75" x14ac:dyDescent="0.2">
      <c r="A124" s="55" t="s">
        <v>197</v>
      </c>
      <c r="B124" s="7" t="s">
        <v>13</v>
      </c>
      <c r="C124" s="118"/>
      <c r="D124" s="118"/>
      <c r="E124" s="124"/>
    </row>
    <row r="125" spans="1:5" ht="37.5" x14ac:dyDescent="0.2">
      <c r="A125" s="19" t="s">
        <v>158</v>
      </c>
      <c r="B125" s="7" t="s">
        <v>13</v>
      </c>
      <c r="C125" s="161">
        <v>26152</v>
      </c>
      <c r="D125" s="161">
        <v>24837</v>
      </c>
      <c r="E125" s="159">
        <f t="shared" si="15"/>
        <v>105.29452027217458</v>
      </c>
    </row>
    <row r="126" spans="1:5" ht="18.75" x14ac:dyDescent="0.2">
      <c r="A126" s="19" t="s">
        <v>196</v>
      </c>
      <c r="B126" s="7" t="s">
        <v>13</v>
      </c>
      <c r="C126" s="118">
        <v>51341</v>
      </c>
      <c r="D126" s="118">
        <v>50929</v>
      </c>
      <c r="E126" s="159">
        <f t="shared" si="15"/>
        <v>100.80896934948653</v>
      </c>
    </row>
    <row r="127" spans="1:5" ht="18.75" x14ac:dyDescent="0.2">
      <c r="A127" s="19" t="s">
        <v>198</v>
      </c>
      <c r="B127" s="7" t="s">
        <v>13</v>
      </c>
      <c r="C127" s="161">
        <v>29362</v>
      </c>
      <c r="D127" s="161">
        <v>29592</v>
      </c>
      <c r="E127" s="159">
        <f t="shared" si="15"/>
        <v>99.222762908894296</v>
      </c>
    </row>
    <row r="128" spans="1:5" ht="37.5" x14ac:dyDescent="0.2">
      <c r="A128" s="19" t="s">
        <v>61</v>
      </c>
      <c r="B128" s="7" t="s">
        <v>13</v>
      </c>
      <c r="C128" s="118">
        <v>72247</v>
      </c>
      <c r="D128" s="118">
        <v>73461</v>
      </c>
      <c r="E128" s="159">
        <f t="shared" si="15"/>
        <v>98.347422441839882</v>
      </c>
    </row>
    <row r="129" spans="1:5" ht="18.75" x14ac:dyDescent="0.3">
      <c r="A129" s="8" t="s">
        <v>64</v>
      </c>
      <c r="B129" s="7" t="s">
        <v>13</v>
      </c>
      <c r="C129" s="118">
        <v>64547</v>
      </c>
      <c r="D129" s="118">
        <v>57156</v>
      </c>
      <c r="E129" s="159">
        <f t="shared" si="15"/>
        <v>112.93127580656449</v>
      </c>
    </row>
    <row r="130" spans="1:5" ht="18.75" x14ac:dyDescent="0.3">
      <c r="A130" s="8" t="s">
        <v>65</v>
      </c>
      <c r="B130" s="7" t="s">
        <v>13</v>
      </c>
      <c r="C130" s="161">
        <v>65681</v>
      </c>
      <c r="D130" s="161">
        <v>62109</v>
      </c>
      <c r="E130" s="159">
        <f t="shared" si="15"/>
        <v>105.75117937818996</v>
      </c>
    </row>
    <row r="131" spans="1:5" ht="18.75" x14ac:dyDescent="0.3">
      <c r="A131" s="8" t="s">
        <v>67</v>
      </c>
      <c r="B131" s="7" t="s">
        <v>13</v>
      </c>
      <c r="C131" s="161">
        <v>31263</v>
      </c>
      <c r="D131" s="162">
        <v>27322</v>
      </c>
      <c r="E131" s="159">
        <f t="shared" si="15"/>
        <v>114.42427347924749</v>
      </c>
    </row>
    <row r="132" spans="1:5" ht="56.25" x14ac:dyDescent="0.3">
      <c r="A132" s="356" t="s">
        <v>344</v>
      </c>
      <c r="B132" s="7" t="s">
        <v>13</v>
      </c>
      <c r="C132" s="118">
        <v>64326</v>
      </c>
      <c r="D132" s="118">
        <v>58771</v>
      </c>
      <c r="E132" s="159">
        <f t="shared" si="15"/>
        <v>109.45194058294057</v>
      </c>
    </row>
    <row r="133" spans="1:5" ht="18.75" x14ac:dyDescent="0.3">
      <c r="A133" s="357" t="s">
        <v>345</v>
      </c>
      <c r="B133" s="7" t="s">
        <v>13</v>
      </c>
      <c r="C133" s="118"/>
      <c r="D133" s="118"/>
      <c r="E133" s="124"/>
    </row>
    <row r="134" spans="1:5" ht="37.5" x14ac:dyDescent="0.2">
      <c r="A134" s="19" t="s">
        <v>241</v>
      </c>
      <c r="B134" s="7"/>
      <c r="C134" s="118">
        <v>66567</v>
      </c>
      <c r="D134" s="118">
        <v>63568</v>
      </c>
      <c r="E134" s="159">
        <f t="shared" si="15"/>
        <v>104.7177825320916</v>
      </c>
    </row>
    <row r="135" spans="1:5" ht="18.75" x14ac:dyDescent="0.3">
      <c r="A135" s="8" t="s">
        <v>242</v>
      </c>
      <c r="B135" s="7" t="s">
        <v>13</v>
      </c>
      <c r="C135" s="118">
        <v>61068</v>
      </c>
      <c r="D135" s="118">
        <v>59625</v>
      </c>
      <c r="E135" s="159">
        <f t="shared" ref="E135:E139" si="16">C135/D135*100</f>
        <v>102.42012578616352</v>
      </c>
    </row>
    <row r="136" spans="1:5" ht="18.75" x14ac:dyDescent="0.3">
      <c r="A136" s="8" t="s">
        <v>64</v>
      </c>
      <c r="B136" s="7" t="s">
        <v>13</v>
      </c>
      <c r="C136" s="118">
        <v>54205</v>
      </c>
      <c r="D136" s="118">
        <v>47190</v>
      </c>
      <c r="E136" s="159">
        <f t="shared" si="16"/>
        <v>114.86543759271032</v>
      </c>
    </row>
    <row r="137" spans="1:5" ht="18.75" x14ac:dyDescent="0.3">
      <c r="A137" s="8" t="s">
        <v>68</v>
      </c>
      <c r="B137" s="7" t="s">
        <v>13</v>
      </c>
      <c r="C137" s="236">
        <v>66047</v>
      </c>
      <c r="D137" s="236">
        <v>72419</v>
      </c>
      <c r="E137" s="159">
        <f t="shared" si="16"/>
        <v>91.201204103895378</v>
      </c>
    </row>
    <row r="138" spans="1:5" ht="19.5" x14ac:dyDescent="0.35">
      <c r="A138" s="358" t="s">
        <v>35</v>
      </c>
      <c r="B138" s="21" t="s">
        <v>9</v>
      </c>
      <c r="C138" s="174">
        <v>0.92100000000000004</v>
      </c>
      <c r="D138" s="174">
        <v>0.91700000000000004</v>
      </c>
      <c r="E138" s="352">
        <f t="shared" si="16"/>
        <v>100.43620501635769</v>
      </c>
    </row>
    <row r="139" spans="1:5" ht="39" x14ac:dyDescent="0.2">
      <c r="A139" s="359" t="s">
        <v>335</v>
      </c>
      <c r="B139" s="360" t="s">
        <v>9</v>
      </c>
      <c r="C139" s="361">
        <v>578.93499999999995</v>
      </c>
      <c r="D139" s="361">
        <v>541.673</v>
      </c>
      <c r="E139" s="362">
        <f t="shared" si="16"/>
        <v>106.87905802947533</v>
      </c>
    </row>
    <row r="140" spans="1:5" ht="18.75" x14ac:dyDescent="0.2">
      <c r="A140" s="43"/>
      <c r="B140" s="44"/>
      <c r="C140" s="1"/>
      <c r="D140" s="1"/>
      <c r="E140" s="45"/>
    </row>
    <row r="141" spans="1:5" ht="18.75" x14ac:dyDescent="0.2">
      <c r="A141" s="111" t="s">
        <v>326</v>
      </c>
      <c r="B141" s="44"/>
      <c r="C141" s="1"/>
      <c r="D141" s="410" t="s">
        <v>309</v>
      </c>
      <c r="E141" s="410"/>
    </row>
    <row r="142" spans="1:5" ht="18.75" customHeight="1" x14ac:dyDescent="0.2">
      <c r="A142" s="43"/>
      <c r="B142" s="44"/>
      <c r="C142" s="1"/>
      <c r="D142" s="1"/>
      <c r="E142" s="45"/>
    </row>
    <row r="143" spans="1:5" ht="18.75" x14ac:dyDescent="0.2">
      <c r="A143" s="113" t="s">
        <v>276</v>
      </c>
      <c r="B143" s="44"/>
      <c r="C143" s="1"/>
      <c r="D143" s="1"/>
      <c r="E143" s="45"/>
    </row>
    <row r="144" spans="1:5" ht="18.75" customHeight="1" x14ac:dyDescent="0.2">
      <c r="A144" s="114" t="s">
        <v>244</v>
      </c>
      <c r="B144" s="112"/>
      <c r="C144" s="112"/>
      <c r="D144" s="112"/>
      <c r="E144" s="112"/>
    </row>
    <row r="145" spans="1:5" ht="15.75" x14ac:dyDescent="0.2">
      <c r="A145" s="22"/>
      <c r="B145" s="23"/>
      <c r="C145" s="24"/>
      <c r="D145" s="24"/>
      <c r="E145" s="25"/>
    </row>
  </sheetData>
  <mergeCells count="8">
    <mergeCell ref="D1:E1"/>
    <mergeCell ref="D2:E2"/>
    <mergeCell ref="A3:E3"/>
    <mergeCell ref="A4:E4"/>
    <mergeCell ref="D141:E141"/>
    <mergeCell ref="A6:E6"/>
    <mergeCell ref="A25:E25"/>
    <mergeCell ref="A87:E87"/>
  </mergeCells>
  <phoneticPr fontId="18" type="noConversion"/>
  <printOptions horizontalCentered="1"/>
  <pageMargins left="0.78740157480314965" right="0.39370078740157483" top="0.78740157480314965" bottom="0.78740157480314965" header="0" footer="0"/>
  <pageSetup paperSize="9" scale="64" fitToHeight="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8"/>
  <sheetViews>
    <sheetView view="pageBreakPreview" topLeftCell="A151" zoomScale="71" zoomScaleNormal="75" zoomScaleSheetLayoutView="71" workbookViewId="0">
      <selection activeCell="G1" sqref="G1"/>
    </sheetView>
  </sheetViews>
  <sheetFormatPr defaultColWidth="9.140625" defaultRowHeight="15.75" x14ac:dyDescent="0.25"/>
  <cols>
    <col min="1" max="1" width="3.140625" style="67" customWidth="1"/>
    <col min="2" max="2" width="3.28515625" style="67" customWidth="1"/>
    <col min="3" max="3" width="12.140625" style="67" customWidth="1"/>
    <col min="4" max="4" width="48.42578125" style="67" customWidth="1"/>
    <col min="5" max="5" width="20.42578125" style="67" customWidth="1"/>
    <col min="6" max="6" width="15.5703125" style="68" hidden="1" customWidth="1"/>
    <col min="7" max="7" width="15.42578125" style="68" customWidth="1"/>
    <col min="8" max="8" width="16.28515625" style="68" customWidth="1"/>
    <col min="9" max="10" width="17" style="68" customWidth="1"/>
    <col min="11" max="12" width="17.140625" style="68" customWidth="1"/>
    <col min="13" max="16" width="19" style="68" customWidth="1"/>
    <col min="17" max="17" width="21.140625" style="68" customWidth="1"/>
    <col min="18" max="19" width="14.7109375" style="68" customWidth="1"/>
    <col min="20" max="16384" width="9.140625" style="68"/>
  </cols>
  <sheetData>
    <row r="1" spans="1:28" x14ac:dyDescent="0.25">
      <c r="G1" s="233" t="s">
        <v>37</v>
      </c>
      <c r="H1" s="233"/>
      <c r="I1" s="233"/>
      <c r="J1" s="233"/>
      <c r="K1" s="233"/>
      <c r="L1" s="233"/>
      <c r="M1" s="233"/>
      <c r="N1" s="233"/>
      <c r="O1" s="233"/>
      <c r="P1" s="233"/>
      <c r="Q1" s="233" t="s">
        <v>37</v>
      </c>
    </row>
    <row r="3" spans="1:28" ht="20.25" x14ac:dyDescent="0.25">
      <c r="A3" s="421" t="s">
        <v>346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28" ht="27" customHeight="1" x14ac:dyDescent="0.25">
      <c r="A4" s="431" t="s">
        <v>355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28" ht="21" customHeight="1" x14ac:dyDescent="0.25">
      <c r="A5" s="334"/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468" t="s">
        <v>70</v>
      </c>
      <c r="P5" s="468"/>
      <c r="Q5" s="468"/>
      <c r="R5" s="468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22.5" customHeight="1" x14ac:dyDescent="0.25">
      <c r="A6" s="136"/>
      <c r="B6" s="136"/>
      <c r="C6" s="136"/>
      <c r="D6" s="136"/>
      <c r="E6" s="136"/>
      <c r="F6" s="138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138"/>
      <c r="R6" s="138"/>
      <c r="S6" s="138"/>
      <c r="T6" s="69"/>
      <c r="U6" s="69"/>
      <c r="V6" s="69"/>
      <c r="W6" s="69"/>
      <c r="X6" s="69"/>
      <c r="Y6" s="69"/>
      <c r="Z6" s="69"/>
      <c r="AA6" s="69"/>
      <c r="AB6" s="69"/>
    </row>
    <row r="7" spans="1:28" s="93" customFormat="1" ht="96" customHeight="1" x14ac:dyDescent="0.25">
      <c r="A7" s="432"/>
      <c r="B7" s="433"/>
      <c r="C7" s="433"/>
      <c r="D7" s="434"/>
      <c r="E7" s="470" t="s">
        <v>334</v>
      </c>
      <c r="F7" s="91" t="s">
        <v>38</v>
      </c>
      <c r="G7" s="463" t="s">
        <v>39</v>
      </c>
      <c r="H7" s="464"/>
      <c r="I7" s="463" t="s">
        <v>40</v>
      </c>
      <c r="J7" s="464"/>
      <c r="K7" s="463" t="s">
        <v>348</v>
      </c>
      <c r="L7" s="464"/>
      <c r="M7" s="463" t="s">
        <v>41</v>
      </c>
      <c r="N7" s="464"/>
      <c r="O7" s="469" t="s">
        <v>36</v>
      </c>
      <c r="P7" s="469"/>
      <c r="Q7" s="91" t="s">
        <v>35</v>
      </c>
      <c r="R7" s="463" t="s">
        <v>353</v>
      </c>
      <c r="S7" s="464"/>
      <c r="T7" s="92"/>
      <c r="U7" s="92"/>
      <c r="V7" s="92"/>
      <c r="W7" s="92"/>
      <c r="X7" s="92"/>
      <c r="Y7" s="92"/>
      <c r="Z7" s="92"/>
      <c r="AA7" s="92"/>
      <c r="AB7" s="92"/>
    </row>
    <row r="8" spans="1:28" s="93" customFormat="1" ht="163.5" customHeight="1" x14ac:dyDescent="0.25">
      <c r="A8" s="435"/>
      <c r="B8" s="436"/>
      <c r="C8" s="436"/>
      <c r="D8" s="437"/>
      <c r="E8" s="471"/>
      <c r="F8" s="343"/>
      <c r="G8" s="363" t="s">
        <v>331</v>
      </c>
      <c r="H8" s="363" t="s">
        <v>332</v>
      </c>
      <c r="I8" s="364" t="s">
        <v>331</v>
      </c>
      <c r="J8" s="363" t="s">
        <v>333</v>
      </c>
      <c r="K8" s="364" t="s">
        <v>331</v>
      </c>
      <c r="L8" s="364" t="s">
        <v>332</v>
      </c>
      <c r="M8" s="364" t="s">
        <v>331</v>
      </c>
      <c r="N8" s="364" t="s">
        <v>332</v>
      </c>
      <c r="O8" s="364" t="s">
        <v>331</v>
      </c>
      <c r="P8" s="364" t="s">
        <v>332</v>
      </c>
      <c r="Q8" s="368"/>
      <c r="R8" s="391" t="s">
        <v>331</v>
      </c>
      <c r="S8" s="391" t="s">
        <v>332</v>
      </c>
      <c r="T8" s="92"/>
      <c r="U8" s="92"/>
      <c r="V8" s="92"/>
      <c r="W8" s="92"/>
      <c r="X8" s="92"/>
      <c r="Y8" s="92"/>
      <c r="Z8" s="92"/>
      <c r="AA8" s="92"/>
      <c r="AB8" s="92"/>
    </row>
    <row r="9" spans="1:28" ht="56.25" customHeight="1" x14ac:dyDescent="0.25">
      <c r="A9" s="422" t="s">
        <v>171</v>
      </c>
      <c r="B9" s="422"/>
      <c r="C9" s="422"/>
      <c r="D9" s="422"/>
      <c r="E9" s="365"/>
      <c r="F9" s="345">
        <f t="shared" ref="F9:Q9" si="0">F10+F50</f>
        <v>262.89200000000005</v>
      </c>
      <c r="G9" s="345">
        <f t="shared" si="0"/>
        <v>61.58</v>
      </c>
      <c r="H9" s="345">
        <f t="shared" si="0"/>
        <v>54.739999999999995</v>
      </c>
      <c r="I9" s="345">
        <f t="shared" si="0"/>
        <v>54.327000000000005</v>
      </c>
      <c r="J9" s="345">
        <f t="shared" si="0"/>
        <v>47.664000000000001</v>
      </c>
      <c r="K9" s="345">
        <f t="shared" si="0"/>
        <v>6.298999999999995</v>
      </c>
      <c r="L9" s="345">
        <f t="shared" si="0"/>
        <v>6.4789999999999974</v>
      </c>
      <c r="M9" s="366">
        <f t="shared" si="0"/>
        <v>108</v>
      </c>
      <c r="N9" s="345">
        <f t="shared" si="0"/>
        <v>125</v>
      </c>
      <c r="O9" s="345">
        <f t="shared" si="0"/>
        <v>6.8509999999999991</v>
      </c>
      <c r="P9" s="345">
        <f t="shared" si="0"/>
        <v>7.0150000000000006</v>
      </c>
      <c r="Q9" s="369">
        <f t="shared" si="0"/>
        <v>0</v>
      </c>
      <c r="R9" s="263">
        <f>ROUND(O9/M9/3*1000000,0)</f>
        <v>21145</v>
      </c>
      <c r="S9" s="263">
        <f>ROUND(P9/N9/3*1000000,0)</f>
        <v>18707</v>
      </c>
      <c r="T9" s="69"/>
      <c r="U9" s="69"/>
      <c r="V9" s="69"/>
      <c r="W9" s="69"/>
      <c r="X9" s="69"/>
      <c r="Y9" s="69"/>
      <c r="Z9" s="69"/>
      <c r="AA9" s="69"/>
      <c r="AB9" s="69"/>
    </row>
    <row r="10" spans="1:28" ht="48.75" customHeight="1" x14ac:dyDescent="0.25">
      <c r="A10" s="426" t="s">
        <v>170</v>
      </c>
      <c r="B10" s="426"/>
      <c r="C10" s="426"/>
      <c r="D10" s="426"/>
      <c r="E10" s="333"/>
      <c r="F10" s="214">
        <f t="shared" ref="F10:Q10" si="1">F11+F14</f>
        <v>129.30600000000001</v>
      </c>
      <c r="G10" s="214">
        <f t="shared" si="1"/>
        <v>16.754999999999999</v>
      </c>
      <c r="H10" s="214">
        <f t="shared" si="1"/>
        <v>23.826999999999998</v>
      </c>
      <c r="I10" s="214">
        <f t="shared" si="1"/>
        <v>10.927</v>
      </c>
      <c r="J10" s="214">
        <f t="shared" si="1"/>
        <v>17.404</v>
      </c>
      <c r="K10" s="214">
        <f t="shared" si="1"/>
        <v>4.8739999999999988</v>
      </c>
      <c r="L10" s="214">
        <f t="shared" si="1"/>
        <v>5.8259999999999996</v>
      </c>
      <c r="M10" s="269">
        <f t="shared" si="1"/>
        <v>64</v>
      </c>
      <c r="N10" s="269">
        <f t="shared" si="1"/>
        <v>81</v>
      </c>
      <c r="O10" s="214">
        <f t="shared" si="1"/>
        <v>3.488999999999999</v>
      </c>
      <c r="P10" s="214">
        <f t="shared" si="1"/>
        <v>3.7229999999999999</v>
      </c>
      <c r="Q10" s="370">
        <f t="shared" si="1"/>
        <v>0</v>
      </c>
      <c r="R10" s="403">
        <f>ROUND(O10/M10/3*1000000,0)</f>
        <v>18172</v>
      </c>
      <c r="S10" s="403">
        <f>ROUND(P10/N10/3*1000000,0)</f>
        <v>15321</v>
      </c>
      <c r="T10" s="69"/>
      <c r="U10" s="69"/>
      <c r="V10" s="69"/>
      <c r="W10" s="69"/>
      <c r="X10" s="69"/>
      <c r="Y10" s="69"/>
      <c r="Z10" s="69"/>
      <c r="AA10" s="69"/>
      <c r="AB10" s="69"/>
    </row>
    <row r="11" spans="1:28" ht="15.75" customHeight="1" x14ac:dyDescent="0.25">
      <c r="A11" s="100"/>
      <c r="B11" s="427" t="s">
        <v>42</v>
      </c>
      <c r="C11" s="427"/>
      <c r="D11" s="428"/>
      <c r="E11" s="234"/>
      <c r="F11" s="129">
        <f t="shared" ref="F11:K11" si="2">SUM(F12:F12)</f>
        <v>0</v>
      </c>
      <c r="G11" s="129">
        <f t="shared" si="2"/>
        <v>0</v>
      </c>
      <c r="H11" s="129">
        <f t="shared" si="2"/>
        <v>0</v>
      </c>
      <c r="I11" s="129">
        <f t="shared" si="2"/>
        <v>0</v>
      </c>
      <c r="J11" s="129">
        <f t="shared" si="2"/>
        <v>0</v>
      </c>
      <c r="K11" s="129">
        <f t="shared" si="2"/>
        <v>0</v>
      </c>
      <c r="L11" s="129">
        <v>0</v>
      </c>
      <c r="M11" s="228">
        <f>SUM(M12:M12)</f>
        <v>1</v>
      </c>
      <c r="N11" s="228">
        <f>SUM(N12:N12)</f>
        <v>1</v>
      </c>
      <c r="O11" s="129">
        <f>SUM(O12:O12)</f>
        <v>0.05</v>
      </c>
      <c r="P11" s="129">
        <f>SUM(P12:P12)</f>
        <v>3.5999999999999997E-2</v>
      </c>
      <c r="Q11" s="371">
        <f>SUM(Q12:Q12)</f>
        <v>0</v>
      </c>
      <c r="R11" s="265">
        <f t="shared" ref="R11:R12" si="3">ROUND(O11/M11/3*1000000,0)</f>
        <v>16667</v>
      </c>
      <c r="S11" s="265">
        <f t="shared" ref="S11:S12" si="4">ROUND(P11/N11/3*1000000,0)</f>
        <v>12000</v>
      </c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132" customFormat="1" x14ac:dyDescent="0.25">
      <c r="A12" s="101" t="s">
        <v>211</v>
      </c>
      <c r="B12" s="290"/>
      <c r="C12" s="290"/>
      <c r="D12" s="291"/>
      <c r="E12" s="103" t="s">
        <v>347</v>
      </c>
      <c r="F12" s="235">
        <v>0</v>
      </c>
      <c r="G12" s="235">
        <v>0</v>
      </c>
      <c r="H12" s="235">
        <v>0</v>
      </c>
      <c r="I12" s="235">
        <v>0</v>
      </c>
      <c r="J12" s="235">
        <v>0</v>
      </c>
      <c r="K12" s="235">
        <v>0</v>
      </c>
      <c r="L12" s="235">
        <v>0</v>
      </c>
      <c r="M12" s="295">
        <v>1</v>
      </c>
      <c r="N12" s="295">
        <v>1</v>
      </c>
      <c r="O12" s="235">
        <v>0.05</v>
      </c>
      <c r="P12" s="235">
        <v>3.5999999999999997E-2</v>
      </c>
      <c r="Q12" s="372">
        <v>0</v>
      </c>
      <c r="R12" s="265">
        <f t="shared" si="3"/>
        <v>16667</v>
      </c>
      <c r="S12" s="265">
        <f t="shared" si="4"/>
        <v>12000</v>
      </c>
      <c r="T12" s="131"/>
      <c r="U12" s="131"/>
      <c r="V12" s="131"/>
      <c r="W12" s="131"/>
      <c r="X12" s="131"/>
      <c r="Y12" s="131"/>
      <c r="Z12" s="131"/>
      <c r="AA12" s="131"/>
      <c r="AB12" s="131"/>
    </row>
    <row r="13" spans="1:28" s="132" customFormat="1" x14ac:dyDescent="0.25">
      <c r="A13" s="101"/>
      <c r="B13" s="290"/>
      <c r="C13" s="290"/>
      <c r="D13" s="291"/>
      <c r="E13" s="291"/>
      <c r="F13" s="289"/>
      <c r="G13" s="289"/>
      <c r="H13" s="289"/>
      <c r="I13" s="289"/>
      <c r="J13" s="289"/>
      <c r="K13" s="289"/>
      <c r="L13" s="289"/>
      <c r="M13" s="292"/>
      <c r="N13" s="292"/>
      <c r="O13" s="289"/>
      <c r="P13" s="289"/>
      <c r="Q13" s="373"/>
      <c r="R13" s="265"/>
      <c r="S13" s="265"/>
      <c r="T13" s="131"/>
      <c r="U13" s="131"/>
      <c r="V13" s="131"/>
      <c r="W13" s="131"/>
      <c r="X13" s="131"/>
      <c r="Y13" s="131"/>
      <c r="Z13" s="131"/>
      <c r="AA13" s="131"/>
      <c r="AB13" s="131"/>
    </row>
    <row r="14" spans="1:28" s="132" customFormat="1" ht="15.75" customHeight="1" x14ac:dyDescent="0.25">
      <c r="A14" s="101"/>
      <c r="B14" s="465" t="s">
        <v>264</v>
      </c>
      <c r="C14" s="465"/>
      <c r="D14" s="466"/>
      <c r="E14" s="329"/>
      <c r="F14" s="235">
        <f t="shared" ref="F14:Q14" si="5">SUM(F15:F48)</f>
        <v>129.30600000000001</v>
      </c>
      <c r="G14" s="296">
        <f t="shared" si="5"/>
        <v>16.754999999999999</v>
      </c>
      <c r="H14" s="296">
        <f t="shared" si="5"/>
        <v>23.826999999999998</v>
      </c>
      <c r="I14" s="296">
        <f t="shared" si="5"/>
        <v>10.927</v>
      </c>
      <c r="J14" s="296">
        <f t="shared" si="5"/>
        <v>17.404</v>
      </c>
      <c r="K14" s="296">
        <f t="shared" si="5"/>
        <v>4.8739999999999988</v>
      </c>
      <c r="L14" s="296">
        <f t="shared" si="5"/>
        <v>5.8259999999999996</v>
      </c>
      <c r="M14" s="297">
        <f t="shared" si="5"/>
        <v>63</v>
      </c>
      <c r="N14" s="297">
        <f t="shared" si="5"/>
        <v>80</v>
      </c>
      <c r="O14" s="296">
        <f t="shared" si="5"/>
        <v>3.4389999999999992</v>
      </c>
      <c r="P14" s="296">
        <v>3.6869999999999998</v>
      </c>
      <c r="Q14" s="374">
        <f t="shared" si="5"/>
        <v>0</v>
      </c>
      <c r="R14" s="265">
        <f t="shared" ref="R14:R48" si="6">ROUND(O14/M14/3*1000000,0)</f>
        <v>18196</v>
      </c>
      <c r="S14" s="265">
        <f t="shared" ref="S14:S48" si="7">ROUND(P14/N14/3*1000000,0)</f>
        <v>15363</v>
      </c>
      <c r="T14" s="131"/>
      <c r="U14" s="131"/>
      <c r="V14" s="131"/>
      <c r="W14" s="131"/>
      <c r="X14" s="131"/>
      <c r="Y14" s="131"/>
      <c r="Z14" s="131"/>
      <c r="AA14" s="131"/>
      <c r="AB14" s="131"/>
    </row>
    <row r="15" spans="1:28" s="132" customFormat="1" x14ac:dyDescent="0.25">
      <c r="A15" s="190" t="s">
        <v>287</v>
      </c>
      <c r="B15" s="293"/>
      <c r="C15" s="293"/>
      <c r="D15" s="294"/>
      <c r="E15" s="294"/>
      <c r="F15" s="235">
        <v>2.5670000000000002</v>
      </c>
      <c r="G15" s="298">
        <v>0</v>
      </c>
      <c r="H15" s="298">
        <v>0.56699999999999995</v>
      </c>
      <c r="I15" s="235">
        <v>0</v>
      </c>
      <c r="J15" s="235">
        <v>0.33300000000000002</v>
      </c>
      <c r="K15" s="235">
        <v>0</v>
      </c>
      <c r="L15" s="235">
        <v>0.23400000000000001</v>
      </c>
      <c r="M15" s="295">
        <v>1</v>
      </c>
      <c r="N15" s="295">
        <v>3</v>
      </c>
      <c r="O15" s="235">
        <v>7.0000000000000007E-2</v>
      </c>
      <c r="P15" s="235">
        <v>8.3000000000000004E-2</v>
      </c>
      <c r="Q15" s="372">
        <v>0</v>
      </c>
      <c r="R15" s="265">
        <f t="shared" si="6"/>
        <v>23333</v>
      </c>
      <c r="S15" s="265">
        <f t="shared" si="7"/>
        <v>9222</v>
      </c>
      <c r="T15" s="131"/>
      <c r="U15" s="131"/>
      <c r="V15" s="131"/>
      <c r="W15" s="131"/>
      <c r="X15" s="131"/>
      <c r="Y15" s="131"/>
      <c r="Z15" s="131"/>
      <c r="AA15" s="131"/>
      <c r="AB15" s="131"/>
    </row>
    <row r="16" spans="1:28" s="132" customFormat="1" x14ac:dyDescent="0.25">
      <c r="A16" s="101" t="s">
        <v>249</v>
      </c>
      <c r="B16" s="303"/>
      <c r="C16" s="133"/>
      <c r="D16" s="134"/>
      <c r="E16" s="134"/>
      <c r="F16" s="235">
        <v>1.486</v>
      </c>
      <c r="G16" s="298">
        <v>0</v>
      </c>
      <c r="H16" s="298">
        <v>0.13700000000000001</v>
      </c>
      <c r="I16" s="235">
        <v>0</v>
      </c>
      <c r="J16" s="235">
        <v>0.09</v>
      </c>
      <c r="K16" s="235">
        <v>0</v>
      </c>
      <c r="L16" s="235">
        <v>0.23400000000000001</v>
      </c>
      <c r="M16" s="295">
        <v>2</v>
      </c>
      <c r="N16" s="295">
        <v>3</v>
      </c>
      <c r="O16" s="235">
        <v>0.114</v>
      </c>
      <c r="P16" s="235">
        <v>0.64300000000000002</v>
      </c>
      <c r="Q16" s="372">
        <v>0</v>
      </c>
      <c r="R16" s="265">
        <f t="shared" si="6"/>
        <v>19000</v>
      </c>
      <c r="S16" s="265">
        <f t="shared" si="7"/>
        <v>71444</v>
      </c>
      <c r="T16" s="131"/>
      <c r="U16" s="131"/>
      <c r="V16" s="131"/>
      <c r="W16" s="131"/>
      <c r="X16" s="131"/>
      <c r="Y16" s="131"/>
      <c r="Z16" s="131"/>
      <c r="AA16" s="131"/>
      <c r="AB16" s="131"/>
    </row>
    <row r="17" spans="1:28" s="132" customFormat="1" x14ac:dyDescent="0.25">
      <c r="A17" s="190" t="s">
        <v>290</v>
      </c>
      <c r="B17" s="293"/>
      <c r="C17" s="293"/>
      <c r="D17" s="294"/>
      <c r="E17" s="294"/>
      <c r="F17" s="235">
        <v>1.298</v>
      </c>
      <c r="G17" s="235">
        <v>0.4</v>
      </c>
      <c r="H17" s="235">
        <v>0.34</v>
      </c>
      <c r="I17" s="235">
        <v>0.19700000000000001</v>
      </c>
      <c r="J17" s="235">
        <v>0.23699999999999999</v>
      </c>
      <c r="K17" s="235">
        <v>0.16500000000000001</v>
      </c>
      <c r="L17" s="235">
        <v>0.10299999999999999</v>
      </c>
      <c r="M17" s="295">
        <v>1</v>
      </c>
      <c r="N17" s="295">
        <v>1</v>
      </c>
      <c r="O17" s="235">
        <v>7.0000000000000007E-2</v>
      </c>
      <c r="P17" s="235">
        <v>0.06</v>
      </c>
      <c r="Q17" s="372">
        <v>0</v>
      </c>
      <c r="R17" s="265">
        <f t="shared" si="6"/>
        <v>23333</v>
      </c>
      <c r="S17" s="265">
        <f t="shared" si="7"/>
        <v>20000</v>
      </c>
      <c r="T17" s="131"/>
      <c r="U17" s="131"/>
      <c r="V17" s="131"/>
      <c r="W17" s="131"/>
      <c r="X17" s="131"/>
      <c r="Y17" s="131"/>
      <c r="Z17" s="131"/>
      <c r="AA17" s="131"/>
      <c r="AB17" s="131"/>
    </row>
    <row r="18" spans="1:28" s="132" customFormat="1" x14ac:dyDescent="0.25">
      <c r="A18" s="190" t="s">
        <v>245</v>
      </c>
      <c r="B18" s="293"/>
      <c r="C18" s="293"/>
      <c r="D18" s="294"/>
      <c r="E18" s="294"/>
      <c r="F18" s="235">
        <v>0.75</v>
      </c>
      <c r="G18" s="298">
        <v>0</v>
      </c>
      <c r="H18" s="298">
        <v>0.75</v>
      </c>
      <c r="I18" s="235">
        <v>0</v>
      </c>
      <c r="J18" s="235">
        <v>0.73</v>
      </c>
      <c r="K18" s="235">
        <v>0</v>
      </c>
      <c r="L18" s="235">
        <v>1.4999999999999999E-2</v>
      </c>
      <c r="M18" s="295">
        <v>1</v>
      </c>
      <c r="N18" s="295">
        <v>2</v>
      </c>
      <c r="O18" s="235">
        <v>7.0000000000000007E-2</v>
      </c>
      <c r="P18" s="235">
        <v>8.7999999999999995E-2</v>
      </c>
      <c r="Q18" s="372">
        <v>0</v>
      </c>
      <c r="R18" s="265">
        <f t="shared" si="6"/>
        <v>23333</v>
      </c>
      <c r="S18" s="265">
        <f t="shared" si="7"/>
        <v>14667</v>
      </c>
      <c r="T18" s="131"/>
      <c r="U18" s="131"/>
      <c r="V18" s="131"/>
      <c r="W18" s="131"/>
      <c r="X18" s="131"/>
      <c r="Y18" s="131"/>
      <c r="Z18" s="131"/>
      <c r="AA18" s="131"/>
      <c r="AB18" s="131"/>
    </row>
    <row r="19" spans="1:28" s="132" customFormat="1" x14ac:dyDescent="0.25">
      <c r="A19" s="190" t="s">
        <v>323</v>
      </c>
      <c r="B19" s="293"/>
      <c r="C19" s="293"/>
      <c r="D19" s="294"/>
      <c r="E19" s="294"/>
      <c r="F19" s="235">
        <v>0.59099999999999997</v>
      </c>
      <c r="G19" s="298">
        <v>0</v>
      </c>
      <c r="H19" s="298">
        <v>0</v>
      </c>
      <c r="I19" s="235">
        <v>0</v>
      </c>
      <c r="J19" s="235">
        <v>0</v>
      </c>
      <c r="K19" s="235">
        <v>0</v>
      </c>
      <c r="L19" s="235">
        <v>0</v>
      </c>
      <c r="M19" s="295">
        <v>1</v>
      </c>
      <c r="N19" s="295">
        <v>0</v>
      </c>
      <c r="O19" s="235">
        <v>7.0000000000000007E-2</v>
      </c>
      <c r="P19" s="235">
        <v>0</v>
      </c>
      <c r="Q19" s="372">
        <v>0</v>
      </c>
      <c r="R19" s="265">
        <f t="shared" si="6"/>
        <v>23333</v>
      </c>
      <c r="S19" s="265">
        <v>0</v>
      </c>
      <c r="T19" s="131"/>
      <c r="U19" s="131"/>
      <c r="V19" s="131"/>
      <c r="W19" s="131"/>
      <c r="X19" s="131"/>
      <c r="Y19" s="131"/>
      <c r="Z19" s="131"/>
      <c r="AA19" s="131"/>
      <c r="AB19" s="131"/>
    </row>
    <row r="20" spans="1:28" s="132" customFormat="1" x14ac:dyDescent="0.25">
      <c r="A20" s="190" t="s">
        <v>324</v>
      </c>
      <c r="B20" s="293"/>
      <c r="C20" s="293"/>
      <c r="D20" s="294"/>
      <c r="E20" s="294"/>
      <c r="F20" s="235">
        <v>1.915</v>
      </c>
      <c r="G20" s="298">
        <v>0.26300000000000001</v>
      </c>
      <c r="H20" s="298">
        <v>0</v>
      </c>
      <c r="I20" s="235">
        <v>9.1999999999999998E-2</v>
      </c>
      <c r="J20" s="235">
        <v>0</v>
      </c>
      <c r="K20" s="235">
        <v>0.11600000000000001</v>
      </c>
      <c r="L20" s="235">
        <v>0</v>
      </c>
      <c r="M20" s="295">
        <v>1</v>
      </c>
      <c r="N20" s="295">
        <v>0</v>
      </c>
      <c r="O20" s="235">
        <v>7.0000000000000007E-2</v>
      </c>
      <c r="P20" s="235">
        <v>0</v>
      </c>
      <c r="Q20" s="372">
        <v>0</v>
      </c>
      <c r="R20" s="265">
        <f t="shared" si="6"/>
        <v>23333</v>
      </c>
      <c r="S20" s="265">
        <v>0</v>
      </c>
      <c r="T20" s="131"/>
      <c r="U20" s="131"/>
      <c r="V20" s="131"/>
      <c r="W20" s="131"/>
      <c r="X20" s="131"/>
      <c r="Y20" s="131"/>
      <c r="Z20" s="131"/>
      <c r="AA20" s="131"/>
      <c r="AB20" s="131"/>
    </row>
    <row r="21" spans="1:28" s="132" customFormat="1" x14ac:dyDescent="0.25">
      <c r="A21" s="190" t="s">
        <v>221</v>
      </c>
      <c r="B21" s="293"/>
      <c r="C21" s="293"/>
      <c r="D21" s="294"/>
      <c r="E21" s="294"/>
      <c r="F21" s="235">
        <v>2.722</v>
      </c>
      <c r="G21" s="298">
        <v>0.161</v>
      </c>
      <c r="H21" s="298">
        <v>0.56599999999999995</v>
      </c>
      <c r="I21" s="235">
        <v>7.8E-2</v>
      </c>
      <c r="J21" s="235">
        <v>0.314</v>
      </c>
      <c r="K21" s="235">
        <v>1.4E-2</v>
      </c>
      <c r="L21" s="235">
        <v>0.221</v>
      </c>
      <c r="M21" s="295">
        <v>1</v>
      </c>
      <c r="N21" s="295">
        <v>1</v>
      </c>
      <c r="O21" s="235">
        <v>7.0000000000000007E-2</v>
      </c>
      <c r="P21" s="235">
        <v>0.06</v>
      </c>
      <c r="Q21" s="372">
        <v>0</v>
      </c>
      <c r="R21" s="265">
        <f t="shared" si="6"/>
        <v>23333</v>
      </c>
      <c r="S21" s="265">
        <f t="shared" si="7"/>
        <v>20000</v>
      </c>
      <c r="T21" s="131"/>
      <c r="U21" s="131"/>
      <c r="V21" s="131"/>
      <c r="W21" s="131"/>
      <c r="X21" s="131"/>
      <c r="Y21" s="131"/>
      <c r="Z21" s="131"/>
      <c r="AA21" s="131"/>
      <c r="AB21" s="131"/>
    </row>
    <row r="22" spans="1:28" s="132" customFormat="1" x14ac:dyDescent="0.25">
      <c r="A22" s="190" t="s">
        <v>252</v>
      </c>
      <c r="B22" s="293"/>
      <c r="C22" s="293"/>
      <c r="D22" s="294"/>
      <c r="E22" s="294"/>
      <c r="F22" s="235">
        <v>0.1</v>
      </c>
      <c r="G22" s="298">
        <v>0</v>
      </c>
      <c r="H22" s="298">
        <v>0.152</v>
      </c>
      <c r="I22" s="235">
        <v>0</v>
      </c>
      <c r="J22" s="235">
        <v>0.14499999999999999</v>
      </c>
      <c r="K22" s="235">
        <v>0</v>
      </c>
      <c r="L22" s="235">
        <v>7.0000000000000001E-3</v>
      </c>
      <c r="M22" s="295">
        <v>1</v>
      </c>
      <c r="N22" s="295">
        <v>1</v>
      </c>
      <c r="O22" s="235">
        <v>7.0000000000000007E-2</v>
      </c>
      <c r="P22" s="235">
        <v>0.02</v>
      </c>
      <c r="Q22" s="372">
        <v>0</v>
      </c>
      <c r="R22" s="265">
        <f t="shared" si="6"/>
        <v>23333</v>
      </c>
      <c r="S22" s="265">
        <f t="shared" si="7"/>
        <v>6667</v>
      </c>
      <c r="T22" s="131"/>
      <c r="U22" s="131"/>
      <c r="V22" s="131"/>
      <c r="W22" s="131"/>
      <c r="X22" s="131"/>
      <c r="Y22" s="131"/>
      <c r="Z22" s="131"/>
      <c r="AA22" s="131"/>
      <c r="AB22" s="131"/>
    </row>
    <row r="23" spans="1:28" s="132" customFormat="1" x14ac:dyDescent="0.25">
      <c r="A23" s="190" t="s">
        <v>328</v>
      </c>
      <c r="B23" s="293"/>
      <c r="C23" s="293"/>
      <c r="D23" s="294"/>
      <c r="E23" s="294"/>
      <c r="F23" s="235">
        <v>0.246</v>
      </c>
      <c r="G23" s="298">
        <v>0.18</v>
      </c>
      <c r="H23" s="298">
        <v>0</v>
      </c>
      <c r="I23" s="235">
        <v>0.128</v>
      </c>
      <c r="J23" s="235">
        <v>0</v>
      </c>
      <c r="K23" s="235">
        <v>4.4999999999999998E-2</v>
      </c>
      <c r="L23" s="235">
        <v>0</v>
      </c>
      <c r="M23" s="295">
        <v>1</v>
      </c>
      <c r="N23" s="295">
        <v>1</v>
      </c>
      <c r="O23" s="235">
        <v>7.0000000000000007E-2</v>
      </c>
      <c r="P23" s="235">
        <v>0</v>
      </c>
      <c r="Q23" s="372">
        <v>0</v>
      </c>
      <c r="R23" s="265">
        <f t="shared" si="6"/>
        <v>23333</v>
      </c>
      <c r="S23" s="265">
        <f t="shared" si="7"/>
        <v>0</v>
      </c>
      <c r="T23" s="131"/>
      <c r="U23" s="131"/>
      <c r="V23" s="131"/>
      <c r="W23" s="131"/>
      <c r="X23" s="131"/>
      <c r="Y23" s="131"/>
      <c r="Z23" s="131"/>
      <c r="AA23" s="131"/>
      <c r="AB23" s="131"/>
    </row>
    <row r="24" spans="1:28" s="132" customFormat="1" x14ac:dyDescent="0.25">
      <c r="A24" s="190" t="s">
        <v>222</v>
      </c>
      <c r="B24" s="293"/>
      <c r="C24" s="293"/>
      <c r="D24" s="294"/>
      <c r="E24" s="294"/>
      <c r="F24" s="235">
        <v>2.5009999999999999</v>
      </c>
      <c r="G24" s="298">
        <v>0.59</v>
      </c>
      <c r="H24" s="298">
        <v>0.45500000000000002</v>
      </c>
      <c r="I24" s="235">
        <v>0.42</v>
      </c>
      <c r="J24" s="235">
        <v>0.28799999999999998</v>
      </c>
      <c r="K24" s="235">
        <v>0.13500000000000001</v>
      </c>
      <c r="L24" s="235">
        <v>0.14199999999999999</v>
      </c>
      <c r="M24" s="295">
        <v>1</v>
      </c>
      <c r="N24" s="295">
        <v>1</v>
      </c>
      <c r="O24" s="235">
        <v>7.0000000000000007E-2</v>
      </c>
      <c r="P24" s="235">
        <v>0.06</v>
      </c>
      <c r="Q24" s="372">
        <v>0</v>
      </c>
      <c r="R24" s="265">
        <f t="shared" si="6"/>
        <v>23333</v>
      </c>
      <c r="S24" s="265">
        <f t="shared" si="7"/>
        <v>20000</v>
      </c>
      <c r="T24" s="131"/>
      <c r="U24" s="131"/>
      <c r="V24" s="131"/>
      <c r="W24" s="131"/>
      <c r="X24" s="131"/>
      <c r="Y24" s="131"/>
      <c r="Z24" s="131"/>
      <c r="AA24" s="131"/>
      <c r="AB24" s="131"/>
    </row>
    <row r="25" spans="1:28" s="132" customFormat="1" x14ac:dyDescent="0.25">
      <c r="A25" s="101" t="s">
        <v>327</v>
      </c>
      <c r="B25" s="293"/>
      <c r="C25" s="293"/>
      <c r="D25" s="294"/>
      <c r="E25" s="294"/>
      <c r="F25" s="235">
        <v>2.95</v>
      </c>
      <c r="G25" s="298">
        <v>0</v>
      </c>
      <c r="H25" s="298">
        <v>0</v>
      </c>
      <c r="I25" s="235">
        <v>0</v>
      </c>
      <c r="J25" s="235">
        <v>0</v>
      </c>
      <c r="K25" s="235">
        <v>0</v>
      </c>
      <c r="L25" s="235">
        <v>0</v>
      </c>
      <c r="M25" s="295">
        <v>1</v>
      </c>
      <c r="N25" s="295">
        <v>1</v>
      </c>
      <c r="O25" s="235">
        <v>7.0000000000000007E-2</v>
      </c>
      <c r="P25" s="235">
        <v>0.06</v>
      </c>
      <c r="Q25" s="372">
        <v>0</v>
      </c>
      <c r="R25" s="265">
        <f t="shared" si="6"/>
        <v>23333</v>
      </c>
      <c r="S25" s="265">
        <f t="shared" si="7"/>
        <v>20000</v>
      </c>
      <c r="T25" s="131"/>
      <c r="U25" s="131"/>
      <c r="V25" s="131"/>
      <c r="W25" s="131"/>
      <c r="X25" s="131"/>
      <c r="Y25" s="131"/>
      <c r="Z25" s="131"/>
      <c r="AA25" s="131"/>
      <c r="AB25" s="131"/>
    </row>
    <row r="26" spans="1:28" s="132" customFormat="1" x14ac:dyDescent="0.25">
      <c r="A26" s="101" t="s">
        <v>313</v>
      </c>
      <c r="B26" s="293"/>
      <c r="C26" s="293"/>
      <c r="D26" s="294"/>
      <c r="E26" s="294"/>
      <c r="F26" s="235">
        <v>11.704000000000001</v>
      </c>
      <c r="G26" s="298">
        <v>2.4</v>
      </c>
      <c r="H26" s="298">
        <v>1.8480000000000001</v>
      </c>
      <c r="I26" s="235">
        <v>0.70199999999999996</v>
      </c>
      <c r="J26" s="235">
        <v>1.024</v>
      </c>
      <c r="K26" s="235">
        <v>1.554</v>
      </c>
      <c r="L26" s="235">
        <v>0.624</v>
      </c>
      <c r="M26" s="295">
        <v>3</v>
      </c>
      <c r="N26" s="295">
        <v>4</v>
      </c>
      <c r="O26" s="235">
        <v>0.189</v>
      </c>
      <c r="P26" s="235">
        <v>0.27</v>
      </c>
      <c r="Q26" s="372">
        <v>0</v>
      </c>
      <c r="R26" s="265">
        <f t="shared" si="6"/>
        <v>21000</v>
      </c>
      <c r="S26" s="265">
        <f t="shared" si="7"/>
        <v>22500</v>
      </c>
      <c r="T26" s="131"/>
      <c r="U26" s="131"/>
      <c r="V26" s="131"/>
      <c r="W26" s="131"/>
      <c r="X26" s="131"/>
      <c r="Y26" s="131"/>
      <c r="Z26" s="131"/>
      <c r="AA26" s="131"/>
      <c r="AB26" s="131"/>
    </row>
    <row r="27" spans="1:28" s="132" customFormat="1" x14ac:dyDescent="0.25">
      <c r="A27" s="101" t="s">
        <v>246</v>
      </c>
      <c r="B27" s="133"/>
      <c r="C27" s="133"/>
      <c r="D27" s="134"/>
      <c r="E27" s="134"/>
      <c r="F27" s="235">
        <v>0.71699999999999997</v>
      </c>
      <c r="G27" s="298">
        <v>0.34</v>
      </c>
      <c r="H27" s="298">
        <v>0.16500000000000001</v>
      </c>
      <c r="I27" s="235">
        <v>0.14199999999999999</v>
      </c>
      <c r="J27" s="235">
        <v>0.10100000000000001</v>
      </c>
      <c r="K27" s="235">
        <v>0.19800000000000001</v>
      </c>
      <c r="L27" s="235">
        <v>6.4000000000000001E-2</v>
      </c>
      <c r="M27" s="295">
        <v>1</v>
      </c>
      <c r="N27" s="295">
        <v>1</v>
      </c>
      <c r="O27" s="235">
        <v>7.0000000000000007E-2</v>
      </c>
      <c r="P27" s="235">
        <v>0.06</v>
      </c>
      <c r="Q27" s="372">
        <v>0</v>
      </c>
      <c r="R27" s="265">
        <f t="shared" si="6"/>
        <v>23333</v>
      </c>
      <c r="S27" s="265">
        <f t="shared" si="7"/>
        <v>20000</v>
      </c>
      <c r="T27" s="131"/>
      <c r="U27" s="131"/>
      <c r="V27" s="131"/>
      <c r="W27" s="131"/>
      <c r="X27" s="131"/>
      <c r="Y27" s="131"/>
      <c r="Z27" s="131"/>
      <c r="AA27" s="131"/>
      <c r="AB27" s="131"/>
    </row>
    <row r="28" spans="1:28" s="132" customFormat="1" x14ac:dyDescent="0.25">
      <c r="A28" s="190" t="s">
        <v>223</v>
      </c>
      <c r="B28" s="293"/>
      <c r="C28" s="293"/>
      <c r="D28" s="294"/>
      <c r="E28" s="294"/>
      <c r="F28" s="235">
        <v>0.11</v>
      </c>
      <c r="G28" s="298">
        <v>0</v>
      </c>
      <c r="H28" s="298">
        <v>0.11</v>
      </c>
      <c r="I28" s="235">
        <v>0</v>
      </c>
      <c r="J28" s="235">
        <v>0.105</v>
      </c>
      <c r="K28" s="235">
        <v>0</v>
      </c>
      <c r="L28" s="235">
        <v>5.0000000000000001E-3</v>
      </c>
      <c r="M28" s="295">
        <v>1</v>
      </c>
      <c r="N28" s="295">
        <v>1</v>
      </c>
      <c r="O28" s="235">
        <v>7.0000000000000007E-2</v>
      </c>
      <c r="P28" s="235">
        <v>0.06</v>
      </c>
      <c r="Q28" s="372">
        <v>0</v>
      </c>
      <c r="R28" s="265">
        <f t="shared" si="6"/>
        <v>23333</v>
      </c>
      <c r="S28" s="265">
        <f t="shared" si="7"/>
        <v>20000</v>
      </c>
      <c r="T28" s="131"/>
      <c r="U28" s="131"/>
      <c r="V28" s="131"/>
      <c r="W28" s="131"/>
      <c r="X28" s="131"/>
      <c r="Y28" s="131"/>
      <c r="Z28" s="131"/>
      <c r="AA28" s="131"/>
      <c r="AB28" s="131"/>
    </row>
    <row r="29" spans="1:28" s="132" customFormat="1" x14ac:dyDescent="0.25">
      <c r="A29" s="190" t="s">
        <v>282</v>
      </c>
      <c r="B29" s="293"/>
      <c r="C29" s="293"/>
      <c r="D29" s="294"/>
      <c r="E29" s="294"/>
      <c r="F29" s="235">
        <v>2.3279999999999998</v>
      </c>
      <c r="G29" s="298">
        <v>0.627</v>
      </c>
      <c r="H29" s="298">
        <v>0.88</v>
      </c>
      <c r="I29" s="235">
        <v>0.23300000000000001</v>
      </c>
      <c r="J29" s="235">
        <v>0.68600000000000005</v>
      </c>
      <c r="K29" s="235">
        <v>0.34200000000000003</v>
      </c>
      <c r="L29" s="235">
        <v>0.17499999999999999</v>
      </c>
      <c r="M29" s="295">
        <v>3</v>
      </c>
      <c r="N29" s="295">
        <v>4</v>
      </c>
      <c r="O29" s="235">
        <v>0.1</v>
      </c>
      <c r="P29" s="235">
        <v>0.11600000000000001</v>
      </c>
      <c r="Q29" s="372">
        <v>0</v>
      </c>
      <c r="R29" s="265">
        <f t="shared" si="6"/>
        <v>11111</v>
      </c>
      <c r="S29" s="265">
        <f t="shared" si="7"/>
        <v>9667</v>
      </c>
      <c r="T29" s="131"/>
      <c r="U29" s="131"/>
      <c r="V29" s="131"/>
      <c r="W29" s="131"/>
      <c r="X29" s="131"/>
      <c r="Y29" s="131"/>
      <c r="Z29" s="131"/>
      <c r="AA29" s="131"/>
      <c r="AB29" s="131"/>
    </row>
    <row r="30" spans="1:28" s="132" customFormat="1" x14ac:dyDescent="0.25">
      <c r="A30" s="190" t="s">
        <v>247</v>
      </c>
      <c r="B30" s="293"/>
      <c r="C30" s="293"/>
      <c r="D30" s="294"/>
      <c r="E30" s="294"/>
      <c r="F30" s="235">
        <v>0</v>
      </c>
      <c r="G30" s="298">
        <v>0</v>
      </c>
      <c r="H30" s="298">
        <v>0</v>
      </c>
      <c r="I30" s="235">
        <v>0</v>
      </c>
      <c r="J30" s="235">
        <v>0</v>
      </c>
      <c r="K30" s="235">
        <v>0</v>
      </c>
      <c r="L30" s="235">
        <v>0</v>
      </c>
      <c r="M30" s="295">
        <v>1</v>
      </c>
      <c r="N30" s="295">
        <v>1</v>
      </c>
      <c r="O30" s="235">
        <v>7.0000000000000007E-2</v>
      </c>
      <c r="P30" s="235">
        <v>0.06</v>
      </c>
      <c r="Q30" s="372">
        <v>0</v>
      </c>
      <c r="R30" s="265">
        <f t="shared" si="6"/>
        <v>23333</v>
      </c>
      <c r="S30" s="265">
        <f t="shared" si="7"/>
        <v>20000</v>
      </c>
      <c r="T30" s="131"/>
      <c r="U30" s="131"/>
      <c r="V30" s="131"/>
      <c r="W30" s="131"/>
      <c r="X30" s="131"/>
      <c r="Y30" s="131"/>
      <c r="Z30" s="131"/>
      <c r="AA30" s="131"/>
      <c r="AB30" s="131"/>
    </row>
    <row r="31" spans="1:28" s="132" customFormat="1" x14ac:dyDescent="0.25">
      <c r="A31" s="190" t="s">
        <v>224</v>
      </c>
      <c r="B31" s="293"/>
      <c r="C31" s="293"/>
      <c r="D31" s="294"/>
      <c r="E31" s="103" t="s">
        <v>347</v>
      </c>
      <c r="F31" s="235">
        <v>22.494</v>
      </c>
      <c r="G31" s="298">
        <v>3.42</v>
      </c>
      <c r="H31" s="298">
        <v>5.52</v>
      </c>
      <c r="I31" s="235">
        <v>2.843</v>
      </c>
      <c r="J31" s="235">
        <v>3.9670000000000001</v>
      </c>
      <c r="K31" s="235">
        <v>0.57699999999999996</v>
      </c>
      <c r="L31" s="235">
        <v>1.5529999999999999</v>
      </c>
      <c r="M31" s="295">
        <v>7</v>
      </c>
      <c r="N31" s="295">
        <v>7</v>
      </c>
      <c r="O31" s="235">
        <v>0.42</v>
      </c>
      <c r="P31" s="235">
        <v>0.22800000000000001</v>
      </c>
      <c r="Q31" s="372">
        <v>0</v>
      </c>
      <c r="R31" s="265">
        <f t="shared" si="6"/>
        <v>20000</v>
      </c>
      <c r="S31" s="265">
        <f t="shared" si="7"/>
        <v>10857</v>
      </c>
      <c r="T31" s="131"/>
      <c r="U31" s="131"/>
      <c r="V31" s="131"/>
      <c r="W31" s="131"/>
      <c r="X31" s="131"/>
      <c r="Y31" s="131"/>
      <c r="Z31" s="131"/>
      <c r="AA31" s="131"/>
      <c r="AB31" s="131"/>
    </row>
    <row r="32" spans="1:28" s="132" customFormat="1" x14ac:dyDescent="0.25">
      <c r="A32" s="190" t="s">
        <v>316</v>
      </c>
      <c r="B32" s="293"/>
      <c r="C32" s="293"/>
      <c r="D32" s="294"/>
      <c r="E32" s="103" t="s">
        <v>347</v>
      </c>
      <c r="F32" s="235">
        <v>7.2549999999999999</v>
      </c>
      <c r="G32" s="298">
        <v>1.6319999999999999</v>
      </c>
      <c r="H32" s="298">
        <v>0.313</v>
      </c>
      <c r="I32" s="235">
        <v>1.042</v>
      </c>
      <c r="J32" s="235">
        <v>0.23699999999999999</v>
      </c>
      <c r="K32" s="235">
        <v>0.59</v>
      </c>
      <c r="L32" s="235">
        <v>7.5999999999999998E-2</v>
      </c>
      <c r="M32" s="295">
        <v>1</v>
      </c>
      <c r="N32" s="295">
        <v>1</v>
      </c>
      <c r="O32" s="235">
        <v>7.0000000000000007E-2</v>
      </c>
      <c r="P32" s="235">
        <v>0.06</v>
      </c>
      <c r="Q32" s="372">
        <v>0</v>
      </c>
      <c r="R32" s="265">
        <f t="shared" si="6"/>
        <v>23333</v>
      </c>
      <c r="S32" s="265">
        <f t="shared" si="7"/>
        <v>20000</v>
      </c>
      <c r="T32" s="131"/>
      <c r="U32" s="131"/>
      <c r="V32" s="131"/>
      <c r="W32" s="131"/>
      <c r="X32" s="131"/>
      <c r="Y32" s="131"/>
      <c r="Z32" s="131"/>
      <c r="AA32" s="131"/>
      <c r="AB32" s="131"/>
    </row>
    <row r="33" spans="1:28" s="132" customFormat="1" x14ac:dyDescent="0.25">
      <c r="A33" s="190" t="s">
        <v>243</v>
      </c>
      <c r="B33" s="293"/>
      <c r="C33" s="293"/>
      <c r="D33" s="294"/>
      <c r="E33" s="294"/>
      <c r="F33" s="235">
        <v>1.8520000000000001</v>
      </c>
      <c r="G33" s="298">
        <v>0.28000000000000003</v>
      </c>
      <c r="H33" s="298">
        <v>0.33</v>
      </c>
      <c r="I33" s="235">
        <v>0.16900000000000001</v>
      </c>
      <c r="J33" s="235">
        <v>0.26800000000000002</v>
      </c>
      <c r="K33" s="235">
        <v>9.7000000000000003E-2</v>
      </c>
      <c r="L33" s="235">
        <v>6.2E-2</v>
      </c>
      <c r="M33" s="295">
        <v>1</v>
      </c>
      <c r="N33" s="295">
        <v>1</v>
      </c>
      <c r="O33" s="235">
        <v>7.0000000000000007E-2</v>
      </c>
      <c r="P33" s="235">
        <v>0.06</v>
      </c>
      <c r="Q33" s="372">
        <v>0</v>
      </c>
      <c r="R33" s="265">
        <f t="shared" si="6"/>
        <v>23333</v>
      </c>
      <c r="S33" s="265">
        <f t="shared" si="7"/>
        <v>20000</v>
      </c>
      <c r="T33" s="131"/>
      <c r="U33" s="131"/>
      <c r="V33" s="131"/>
      <c r="W33" s="131"/>
      <c r="X33" s="131"/>
      <c r="Y33" s="131"/>
      <c r="Z33" s="131"/>
      <c r="AA33" s="131"/>
      <c r="AB33" s="131"/>
    </row>
    <row r="34" spans="1:28" s="132" customFormat="1" x14ac:dyDescent="0.25">
      <c r="A34" s="190" t="s">
        <v>289</v>
      </c>
      <c r="B34" s="293"/>
      <c r="C34" s="293"/>
      <c r="D34" s="294"/>
      <c r="E34" s="103" t="s">
        <v>347</v>
      </c>
      <c r="F34" s="235">
        <v>1.3340000000000001</v>
      </c>
      <c r="G34" s="298">
        <v>0</v>
      </c>
      <c r="H34" s="298">
        <v>0.39600000000000002</v>
      </c>
      <c r="I34" s="235">
        <v>0</v>
      </c>
      <c r="J34" s="235">
        <v>0.35299999999999998</v>
      </c>
      <c r="K34" s="235">
        <v>0</v>
      </c>
      <c r="L34" s="235">
        <v>4.2999999999999997E-2</v>
      </c>
      <c r="M34" s="295">
        <v>1</v>
      </c>
      <c r="N34" s="295">
        <v>3</v>
      </c>
      <c r="O34" s="235">
        <v>7.0000000000000007E-2</v>
      </c>
      <c r="P34" s="235">
        <v>8.3000000000000004E-2</v>
      </c>
      <c r="Q34" s="372">
        <v>0</v>
      </c>
      <c r="R34" s="265">
        <f t="shared" si="6"/>
        <v>23333</v>
      </c>
      <c r="S34" s="265">
        <f t="shared" si="7"/>
        <v>9222</v>
      </c>
      <c r="T34" s="131"/>
      <c r="U34" s="131"/>
      <c r="V34" s="131"/>
      <c r="W34" s="131"/>
      <c r="X34" s="131"/>
      <c r="Y34" s="131"/>
      <c r="Z34" s="131"/>
      <c r="AA34" s="131"/>
      <c r="AB34" s="131"/>
    </row>
    <row r="35" spans="1:28" s="132" customFormat="1" x14ac:dyDescent="0.25">
      <c r="A35" s="101" t="s">
        <v>283</v>
      </c>
      <c r="B35" s="133"/>
      <c r="C35" s="133"/>
      <c r="D35" s="134"/>
      <c r="E35" s="134"/>
      <c r="F35" s="235">
        <v>1.0429999999999999</v>
      </c>
      <c r="G35" s="298">
        <v>0</v>
      </c>
      <c r="H35" s="298">
        <v>0</v>
      </c>
      <c r="I35" s="235">
        <v>0</v>
      </c>
      <c r="J35" s="235">
        <v>0</v>
      </c>
      <c r="K35" s="235">
        <v>0</v>
      </c>
      <c r="L35" s="235">
        <v>0</v>
      </c>
      <c r="M35" s="295">
        <v>1</v>
      </c>
      <c r="N35" s="295">
        <v>1</v>
      </c>
      <c r="O35" s="235">
        <v>7.0000000000000007E-2</v>
      </c>
      <c r="P35" s="235">
        <v>0.06</v>
      </c>
      <c r="Q35" s="372">
        <v>0</v>
      </c>
      <c r="R35" s="265">
        <f t="shared" si="6"/>
        <v>23333</v>
      </c>
      <c r="S35" s="265">
        <f t="shared" si="7"/>
        <v>20000</v>
      </c>
      <c r="T35" s="131"/>
      <c r="U35" s="131"/>
      <c r="V35" s="131"/>
      <c r="W35" s="131"/>
      <c r="X35" s="131"/>
      <c r="Y35" s="131"/>
      <c r="Z35" s="131"/>
      <c r="AA35" s="131"/>
      <c r="AB35" s="131"/>
    </row>
    <row r="36" spans="1:28" s="132" customFormat="1" x14ac:dyDescent="0.25">
      <c r="A36" s="190" t="s">
        <v>284</v>
      </c>
      <c r="B36" s="293"/>
      <c r="C36" s="293"/>
      <c r="D36" s="294"/>
      <c r="E36" s="294"/>
      <c r="F36" s="235">
        <v>2.5670000000000002</v>
      </c>
      <c r="G36" s="298">
        <v>0</v>
      </c>
      <c r="H36" s="298">
        <v>0.56699999999999995</v>
      </c>
      <c r="I36" s="235">
        <v>0</v>
      </c>
      <c r="J36" s="235">
        <v>0.33300000000000002</v>
      </c>
      <c r="K36" s="235">
        <v>0</v>
      </c>
      <c r="L36" s="235">
        <v>0.23400000000000001</v>
      </c>
      <c r="M36" s="295">
        <v>1</v>
      </c>
      <c r="N36" s="295">
        <v>3</v>
      </c>
      <c r="O36" s="235">
        <v>7.0000000000000007E-2</v>
      </c>
      <c r="P36" s="235">
        <v>8.3000000000000004E-2</v>
      </c>
      <c r="Q36" s="372">
        <v>0</v>
      </c>
      <c r="R36" s="265">
        <f t="shared" si="6"/>
        <v>23333</v>
      </c>
      <c r="S36" s="265">
        <f t="shared" si="7"/>
        <v>9222</v>
      </c>
      <c r="T36" s="131"/>
      <c r="U36" s="131"/>
      <c r="V36" s="131"/>
      <c r="W36" s="131"/>
      <c r="X36" s="131"/>
      <c r="Y36" s="131"/>
      <c r="Z36" s="131"/>
      <c r="AA36" s="131"/>
      <c r="AB36" s="131"/>
    </row>
    <row r="37" spans="1:28" s="132" customFormat="1" x14ac:dyDescent="0.25">
      <c r="A37" s="190" t="s">
        <v>225</v>
      </c>
      <c r="B37" s="293"/>
      <c r="C37" s="293"/>
      <c r="D37" s="294"/>
      <c r="E37" s="294"/>
      <c r="F37" s="235">
        <v>0.68100000000000005</v>
      </c>
      <c r="G37" s="298">
        <v>0</v>
      </c>
      <c r="H37" s="298">
        <v>0.28199999999999997</v>
      </c>
      <c r="I37" s="235">
        <v>0</v>
      </c>
      <c r="J37" s="235">
        <v>0.20300000000000001</v>
      </c>
      <c r="K37" s="235">
        <v>0</v>
      </c>
      <c r="L37" s="235">
        <v>6.7000000000000004E-2</v>
      </c>
      <c r="M37" s="295">
        <v>1</v>
      </c>
      <c r="N37" s="295">
        <v>1</v>
      </c>
      <c r="O37" s="235">
        <v>7.0000000000000007E-2</v>
      </c>
      <c r="P37" s="235">
        <v>0.06</v>
      </c>
      <c r="Q37" s="372">
        <v>0</v>
      </c>
      <c r="R37" s="265">
        <f t="shared" si="6"/>
        <v>23333</v>
      </c>
      <c r="S37" s="265">
        <f t="shared" si="7"/>
        <v>20000</v>
      </c>
      <c r="T37" s="131"/>
      <c r="U37" s="131"/>
      <c r="V37" s="131"/>
      <c r="W37" s="131"/>
      <c r="X37" s="131"/>
      <c r="Y37" s="131"/>
      <c r="Z37" s="131"/>
      <c r="AA37" s="131"/>
      <c r="AB37" s="131"/>
    </row>
    <row r="38" spans="1:28" s="132" customFormat="1" x14ac:dyDescent="0.25">
      <c r="A38" s="190" t="s">
        <v>250</v>
      </c>
      <c r="B38" s="293"/>
      <c r="C38" s="293"/>
      <c r="D38" s="294"/>
      <c r="E38" s="294"/>
      <c r="F38" s="235">
        <v>2.4870000000000001</v>
      </c>
      <c r="G38" s="298">
        <v>0</v>
      </c>
      <c r="H38" s="298">
        <v>0.113</v>
      </c>
      <c r="I38" s="235">
        <v>0</v>
      </c>
      <c r="J38" s="235">
        <v>0.104</v>
      </c>
      <c r="K38" s="235">
        <v>0</v>
      </c>
      <c r="L38" s="235">
        <v>8.9999999999999993E-3</v>
      </c>
      <c r="M38" s="295">
        <v>1</v>
      </c>
      <c r="N38" s="295">
        <v>1</v>
      </c>
      <c r="O38" s="235">
        <v>7.0000000000000007E-2</v>
      </c>
      <c r="P38" s="235">
        <v>0.06</v>
      </c>
      <c r="Q38" s="372">
        <v>0</v>
      </c>
      <c r="R38" s="265">
        <f t="shared" si="6"/>
        <v>23333</v>
      </c>
      <c r="S38" s="265">
        <f t="shared" si="7"/>
        <v>20000</v>
      </c>
      <c r="T38" s="131"/>
      <c r="U38" s="131"/>
      <c r="V38" s="131"/>
      <c r="W38" s="131"/>
      <c r="X38" s="131"/>
      <c r="Y38" s="131"/>
      <c r="Z38" s="131"/>
      <c r="AA38" s="131"/>
      <c r="AB38" s="131"/>
    </row>
    <row r="39" spans="1:28" s="132" customFormat="1" x14ac:dyDescent="0.25">
      <c r="A39" s="190" t="s">
        <v>226</v>
      </c>
      <c r="B39" s="293"/>
      <c r="C39" s="293"/>
      <c r="D39" s="294"/>
      <c r="E39" s="294"/>
      <c r="F39" s="235">
        <v>2.7919999999999998</v>
      </c>
      <c r="G39" s="298">
        <v>0.44500000000000001</v>
      </c>
      <c r="H39" s="298">
        <v>0.434</v>
      </c>
      <c r="I39" s="235">
        <v>0.17799999999999999</v>
      </c>
      <c r="J39" s="235">
        <v>0.30099999999999999</v>
      </c>
      <c r="K39" s="235">
        <v>0.20799999999999999</v>
      </c>
      <c r="L39" s="235">
        <v>0.13300000000000001</v>
      </c>
      <c r="M39" s="295">
        <v>1</v>
      </c>
      <c r="N39" s="295">
        <v>1</v>
      </c>
      <c r="O39" s="235">
        <v>7.0000000000000007E-2</v>
      </c>
      <c r="P39" s="235">
        <v>0.06</v>
      </c>
      <c r="Q39" s="372">
        <v>0</v>
      </c>
      <c r="R39" s="265">
        <f t="shared" si="6"/>
        <v>23333</v>
      </c>
      <c r="S39" s="265">
        <f t="shared" si="7"/>
        <v>20000</v>
      </c>
      <c r="T39" s="131"/>
      <c r="U39" s="131"/>
      <c r="V39" s="131"/>
      <c r="W39" s="131"/>
      <c r="X39" s="131"/>
      <c r="Y39" s="131"/>
      <c r="Z39" s="131"/>
      <c r="AA39" s="131"/>
      <c r="AB39" s="131"/>
    </row>
    <row r="40" spans="1:28" s="132" customFormat="1" x14ac:dyDescent="0.25">
      <c r="A40" s="190" t="s">
        <v>227</v>
      </c>
      <c r="B40" s="293"/>
      <c r="C40" s="293"/>
      <c r="D40" s="294"/>
      <c r="E40" s="294"/>
      <c r="F40" s="235">
        <v>2.9860000000000002</v>
      </c>
      <c r="G40" s="298">
        <v>0.63500000000000001</v>
      </c>
      <c r="H40" s="298">
        <v>1.163</v>
      </c>
      <c r="I40" s="235">
        <v>0.35</v>
      </c>
      <c r="J40" s="235">
        <v>1.0349999999999999</v>
      </c>
      <c r="K40" s="235">
        <v>0.185</v>
      </c>
      <c r="L40" s="235">
        <v>3.0000000000000001E-3</v>
      </c>
      <c r="M40" s="295">
        <v>3</v>
      </c>
      <c r="N40" s="295">
        <v>3</v>
      </c>
      <c r="O40" s="235">
        <v>0.161</v>
      </c>
      <c r="P40" s="235">
        <v>0.13</v>
      </c>
      <c r="Q40" s="372">
        <v>0</v>
      </c>
      <c r="R40" s="265">
        <f t="shared" si="6"/>
        <v>17889</v>
      </c>
      <c r="S40" s="265">
        <f t="shared" si="7"/>
        <v>14444</v>
      </c>
      <c r="T40" s="131"/>
      <c r="U40" s="131"/>
      <c r="V40" s="131"/>
      <c r="W40" s="131"/>
      <c r="X40" s="131"/>
      <c r="Y40" s="131"/>
      <c r="Z40" s="131"/>
      <c r="AA40" s="131"/>
      <c r="AB40" s="131"/>
    </row>
    <row r="41" spans="1:28" s="132" customFormat="1" x14ac:dyDescent="0.25">
      <c r="A41" s="190" t="s">
        <v>286</v>
      </c>
      <c r="B41" s="293"/>
      <c r="C41" s="293"/>
      <c r="D41" s="294"/>
      <c r="E41" s="294"/>
      <c r="F41" s="235">
        <v>2.5670000000000002</v>
      </c>
      <c r="G41" s="298">
        <v>0</v>
      </c>
      <c r="H41" s="298">
        <v>0.56699999999999995</v>
      </c>
      <c r="I41" s="235">
        <v>0</v>
      </c>
      <c r="J41" s="235">
        <v>0.33300000000000002</v>
      </c>
      <c r="K41" s="235">
        <v>0</v>
      </c>
      <c r="L41" s="235">
        <v>0.23400000000000001</v>
      </c>
      <c r="M41" s="295">
        <v>1</v>
      </c>
      <c r="N41" s="295">
        <v>3</v>
      </c>
      <c r="O41" s="235">
        <v>7.0000000000000007E-2</v>
      </c>
      <c r="P41" s="235">
        <v>8.3000000000000004E-2</v>
      </c>
      <c r="Q41" s="372">
        <v>0</v>
      </c>
      <c r="R41" s="265">
        <f t="shared" si="6"/>
        <v>23333</v>
      </c>
      <c r="S41" s="265">
        <f t="shared" si="7"/>
        <v>9222</v>
      </c>
      <c r="T41" s="131"/>
      <c r="U41" s="131"/>
      <c r="V41" s="131"/>
      <c r="W41" s="131"/>
      <c r="X41" s="131"/>
      <c r="Y41" s="131"/>
      <c r="Z41" s="131"/>
      <c r="AA41" s="131"/>
      <c r="AB41" s="131"/>
    </row>
    <row r="42" spans="1:28" s="132" customFormat="1" x14ac:dyDescent="0.25">
      <c r="A42" s="190" t="s">
        <v>228</v>
      </c>
      <c r="B42" s="293"/>
      <c r="C42" s="293"/>
      <c r="D42" s="294"/>
      <c r="E42" s="294"/>
      <c r="F42" s="235">
        <v>38</v>
      </c>
      <c r="G42" s="298">
        <v>3.9089999999999998</v>
      </c>
      <c r="H42" s="298">
        <v>5.2140000000000004</v>
      </c>
      <c r="I42" s="235">
        <v>3.464</v>
      </c>
      <c r="J42" s="235">
        <v>3.915</v>
      </c>
      <c r="K42" s="235">
        <v>0.24399999999999999</v>
      </c>
      <c r="L42" s="235">
        <v>0.95699999999999996</v>
      </c>
      <c r="M42" s="295">
        <v>17</v>
      </c>
      <c r="N42" s="295">
        <v>18</v>
      </c>
      <c r="O42" s="235">
        <v>0.495</v>
      </c>
      <c r="P42" s="235">
        <v>0.58799999999999997</v>
      </c>
      <c r="Q42" s="372">
        <v>0</v>
      </c>
      <c r="R42" s="265">
        <f t="shared" si="6"/>
        <v>9706</v>
      </c>
      <c r="S42" s="265">
        <f t="shared" si="7"/>
        <v>10889</v>
      </c>
      <c r="T42" s="131"/>
      <c r="U42" s="131"/>
      <c r="V42" s="131"/>
      <c r="W42" s="131"/>
      <c r="X42" s="131"/>
      <c r="Y42" s="131"/>
      <c r="Z42" s="131"/>
      <c r="AA42" s="131"/>
      <c r="AB42" s="131"/>
    </row>
    <row r="43" spans="1:28" s="132" customFormat="1" x14ac:dyDescent="0.25">
      <c r="A43" s="190" t="s">
        <v>248</v>
      </c>
      <c r="B43" s="293"/>
      <c r="C43" s="293"/>
      <c r="D43" s="294"/>
      <c r="E43" s="294"/>
      <c r="F43" s="235">
        <v>0.16500000000000001</v>
      </c>
      <c r="G43" s="298">
        <v>0</v>
      </c>
      <c r="H43" s="298">
        <v>0.15</v>
      </c>
      <c r="I43" s="235">
        <v>0</v>
      </c>
      <c r="J43" s="235">
        <v>0.13500000000000001</v>
      </c>
      <c r="K43" s="235">
        <v>0</v>
      </c>
      <c r="L43" s="235">
        <v>1.4999999999999999E-2</v>
      </c>
      <c r="M43" s="295">
        <v>1</v>
      </c>
      <c r="N43" s="295">
        <v>1</v>
      </c>
      <c r="O43" s="235">
        <v>7.0000000000000007E-2</v>
      </c>
      <c r="P43" s="235">
        <v>0.06</v>
      </c>
      <c r="Q43" s="372">
        <v>0</v>
      </c>
      <c r="R43" s="265">
        <f t="shared" si="6"/>
        <v>23333</v>
      </c>
      <c r="S43" s="265">
        <f t="shared" si="7"/>
        <v>20000</v>
      </c>
      <c r="T43" s="131"/>
      <c r="U43" s="131"/>
      <c r="V43" s="131"/>
      <c r="W43" s="131"/>
      <c r="X43" s="131"/>
      <c r="Y43" s="131"/>
      <c r="Z43" s="131"/>
      <c r="AA43" s="131"/>
      <c r="AB43" s="131"/>
    </row>
    <row r="44" spans="1:28" s="132" customFormat="1" x14ac:dyDescent="0.25">
      <c r="A44" s="101" t="s">
        <v>229</v>
      </c>
      <c r="B44" s="133"/>
      <c r="C44" s="133"/>
      <c r="D44" s="134"/>
      <c r="E44" s="134"/>
      <c r="F44" s="235">
        <v>3.6909999999999998</v>
      </c>
      <c r="G44" s="298">
        <v>0.56999999999999995</v>
      </c>
      <c r="H44" s="298">
        <v>0.66</v>
      </c>
      <c r="I44" s="235">
        <v>0.34699999999999998</v>
      </c>
      <c r="J44" s="235">
        <v>0.437</v>
      </c>
      <c r="K44" s="235">
        <v>0.17599999999999999</v>
      </c>
      <c r="L44" s="235">
        <v>0.214</v>
      </c>
      <c r="M44" s="295">
        <v>1</v>
      </c>
      <c r="N44" s="295">
        <v>1</v>
      </c>
      <c r="O44" s="235">
        <v>7.0000000000000007E-2</v>
      </c>
      <c r="P44" s="235">
        <v>0.06</v>
      </c>
      <c r="Q44" s="372">
        <v>0</v>
      </c>
      <c r="R44" s="265">
        <f t="shared" si="6"/>
        <v>23333</v>
      </c>
      <c r="S44" s="265">
        <f t="shared" si="7"/>
        <v>20000</v>
      </c>
      <c r="T44" s="131"/>
      <c r="U44" s="131"/>
      <c r="V44" s="131"/>
      <c r="W44" s="131"/>
      <c r="X44" s="131"/>
      <c r="Y44" s="131"/>
      <c r="Z44" s="131"/>
      <c r="AA44" s="131"/>
      <c r="AB44" s="131"/>
    </row>
    <row r="45" spans="1:28" s="132" customFormat="1" x14ac:dyDescent="0.25">
      <c r="A45" s="190" t="s">
        <v>230</v>
      </c>
      <c r="B45" s="293"/>
      <c r="C45" s="293"/>
      <c r="D45" s="294"/>
      <c r="E45" s="294"/>
      <c r="F45" s="235">
        <v>3.593</v>
      </c>
      <c r="G45" s="298">
        <v>0.29299999999999998</v>
      </c>
      <c r="H45" s="298">
        <v>0.68300000000000005</v>
      </c>
      <c r="I45" s="235">
        <v>0.17199999999999999</v>
      </c>
      <c r="J45" s="235">
        <v>0.433</v>
      </c>
      <c r="K45" s="235">
        <v>8.2000000000000003E-2</v>
      </c>
      <c r="L45" s="235">
        <v>0.23899999999999999</v>
      </c>
      <c r="M45" s="295">
        <v>1</v>
      </c>
      <c r="N45" s="295">
        <v>1</v>
      </c>
      <c r="O45" s="235">
        <v>7.0000000000000007E-2</v>
      </c>
      <c r="P45" s="235">
        <v>0.06</v>
      </c>
      <c r="Q45" s="372">
        <v>0</v>
      </c>
      <c r="R45" s="265">
        <f t="shared" si="6"/>
        <v>23333</v>
      </c>
      <c r="S45" s="265">
        <f t="shared" si="7"/>
        <v>20000</v>
      </c>
      <c r="T45" s="131"/>
      <c r="U45" s="131"/>
      <c r="V45" s="131"/>
      <c r="W45" s="131"/>
      <c r="X45" s="131"/>
      <c r="Y45" s="131"/>
      <c r="Z45" s="131"/>
      <c r="AA45" s="131"/>
      <c r="AB45" s="131"/>
    </row>
    <row r="46" spans="1:28" s="132" customFormat="1" x14ac:dyDescent="0.25">
      <c r="A46" s="190" t="s">
        <v>285</v>
      </c>
      <c r="B46" s="293"/>
      <c r="C46" s="293"/>
      <c r="D46" s="294"/>
      <c r="E46" s="103" t="s">
        <v>347</v>
      </c>
      <c r="F46" s="235">
        <v>1.3340000000000001</v>
      </c>
      <c r="G46" s="298">
        <v>0</v>
      </c>
      <c r="H46" s="298">
        <v>0.39600000000000002</v>
      </c>
      <c r="I46" s="235">
        <v>0</v>
      </c>
      <c r="J46" s="235">
        <v>0.35299999999999998</v>
      </c>
      <c r="K46" s="235">
        <v>0</v>
      </c>
      <c r="L46" s="235">
        <v>4.2999999999999997E-2</v>
      </c>
      <c r="M46" s="295">
        <v>1</v>
      </c>
      <c r="N46" s="295">
        <v>3</v>
      </c>
      <c r="O46" s="235">
        <v>7.0000000000000007E-2</v>
      </c>
      <c r="P46" s="235">
        <v>8.3000000000000004E-2</v>
      </c>
      <c r="Q46" s="372">
        <v>0</v>
      </c>
      <c r="R46" s="265">
        <f t="shared" si="6"/>
        <v>23333</v>
      </c>
      <c r="S46" s="265">
        <f t="shared" si="7"/>
        <v>9222</v>
      </c>
      <c r="T46" s="131"/>
      <c r="U46" s="131"/>
      <c r="V46" s="131"/>
      <c r="W46" s="131"/>
      <c r="X46" s="131"/>
      <c r="Y46" s="131"/>
      <c r="Z46" s="131"/>
      <c r="AA46" s="131"/>
      <c r="AB46" s="131"/>
    </row>
    <row r="47" spans="1:28" s="132" customFormat="1" x14ac:dyDescent="0.25">
      <c r="A47" s="190" t="s">
        <v>325</v>
      </c>
      <c r="B47" s="293"/>
      <c r="C47" s="293"/>
      <c r="D47" s="294"/>
      <c r="E47" s="294"/>
      <c r="F47" s="235">
        <v>1.64</v>
      </c>
      <c r="G47" s="298">
        <v>0.36399999999999999</v>
      </c>
      <c r="H47" s="298">
        <v>0.214</v>
      </c>
      <c r="I47" s="235">
        <v>0.22</v>
      </c>
      <c r="J47" s="235">
        <v>0.16200000000000001</v>
      </c>
      <c r="K47" s="235">
        <v>0.11600000000000001</v>
      </c>
      <c r="L47" s="235">
        <v>4.7E-2</v>
      </c>
      <c r="M47" s="295">
        <v>1</v>
      </c>
      <c r="N47" s="295">
        <v>3</v>
      </c>
      <c r="O47" s="235">
        <v>7.0000000000000007E-2</v>
      </c>
      <c r="P47" s="235">
        <v>8.3000000000000004E-2</v>
      </c>
      <c r="Q47" s="372">
        <v>0</v>
      </c>
      <c r="R47" s="265">
        <f t="shared" si="6"/>
        <v>23333</v>
      </c>
      <c r="S47" s="265">
        <f t="shared" si="7"/>
        <v>9222</v>
      </c>
      <c r="T47" s="131"/>
      <c r="U47" s="131"/>
      <c r="V47" s="131"/>
      <c r="W47" s="131"/>
      <c r="X47" s="131"/>
      <c r="Y47" s="131"/>
      <c r="Z47" s="131"/>
      <c r="AA47" s="131"/>
      <c r="AB47" s="131"/>
    </row>
    <row r="48" spans="1:28" s="132" customFormat="1" x14ac:dyDescent="0.25">
      <c r="A48" s="190" t="s">
        <v>253</v>
      </c>
      <c r="B48" s="293"/>
      <c r="C48" s="293"/>
      <c r="D48" s="294"/>
      <c r="E48" s="103" t="s">
        <v>347</v>
      </c>
      <c r="F48" s="235">
        <v>0.84</v>
      </c>
      <c r="G48" s="298">
        <v>0.246</v>
      </c>
      <c r="H48" s="298">
        <v>0.85499999999999998</v>
      </c>
      <c r="I48" s="235">
        <v>0.15</v>
      </c>
      <c r="J48" s="235">
        <v>0.78200000000000003</v>
      </c>
      <c r="K48" s="235">
        <v>0.03</v>
      </c>
      <c r="L48" s="235">
        <v>7.2999999999999995E-2</v>
      </c>
      <c r="M48" s="295">
        <v>1</v>
      </c>
      <c r="N48" s="295">
        <v>3</v>
      </c>
      <c r="O48" s="235">
        <v>7.0000000000000007E-2</v>
      </c>
      <c r="P48" s="235">
        <v>8.5999999999999993E-2</v>
      </c>
      <c r="Q48" s="372">
        <v>0</v>
      </c>
      <c r="R48" s="265">
        <f t="shared" si="6"/>
        <v>23333</v>
      </c>
      <c r="S48" s="265">
        <f t="shared" si="7"/>
        <v>9556</v>
      </c>
      <c r="T48" s="131"/>
      <c r="U48" s="131"/>
      <c r="V48" s="131"/>
      <c r="W48" s="131"/>
      <c r="X48" s="131"/>
      <c r="Y48" s="131"/>
      <c r="Z48" s="131"/>
      <c r="AA48" s="131"/>
      <c r="AB48" s="131"/>
    </row>
    <row r="49" spans="1:28" x14ac:dyDescent="0.25">
      <c r="A49" s="100"/>
      <c r="B49" s="104"/>
      <c r="C49" s="104"/>
      <c r="D49" s="105"/>
      <c r="E49" s="105"/>
      <c r="F49" s="213"/>
      <c r="G49" s="215"/>
      <c r="H49" s="215"/>
      <c r="I49" s="213"/>
      <c r="J49" s="213"/>
      <c r="K49" s="213"/>
      <c r="L49" s="213"/>
      <c r="M49" s="216"/>
      <c r="N49" s="216"/>
      <c r="O49" s="213"/>
      <c r="P49" s="213"/>
      <c r="Q49" s="375"/>
      <c r="R49" s="265"/>
      <c r="S49" s="265"/>
      <c r="T49" s="69"/>
      <c r="U49" s="69"/>
      <c r="V49" s="69"/>
      <c r="W49" s="69"/>
      <c r="X49" s="69"/>
      <c r="Y49" s="69"/>
      <c r="Z49" s="69"/>
      <c r="AA49" s="69"/>
      <c r="AB49" s="69"/>
    </row>
    <row r="50" spans="1:28" ht="27" customHeight="1" x14ac:dyDescent="0.25">
      <c r="A50" s="426" t="s">
        <v>150</v>
      </c>
      <c r="B50" s="426"/>
      <c r="C50" s="426"/>
      <c r="D50" s="426"/>
      <c r="E50" s="333"/>
      <c r="F50" s="214">
        <f>F51+F55</f>
        <v>133.58600000000001</v>
      </c>
      <c r="G50" s="214">
        <f t="shared" ref="G50:Q50" si="8">G51+G55</f>
        <v>44.824999999999996</v>
      </c>
      <c r="H50" s="214">
        <f t="shared" si="8"/>
        <v>30.912999999999997</v>
      </c>
      <c r="I50" s="214">
        <f t="shared" si="8"/>
        <v>43.400000000000006</v>
      </c>
      <c r="J50" s="214">
        <f t="shared" si="8"/>
        <v>30.26</v>
      </c>
      <c r="K50" s="214">
        <f t="shared" si="8"/>
        <v>1.4249999999999963</v>
      </c>
      <c r="L50" s="214">
        <f t="shared" si="8"/>
        <v>0.65299999999999736</v>
      </c>
      <c r="M50" s="269">
        <f t="shared" si="8"/>
        <v>44</v>
      </c>
      <c r="N50" s="269">
        <f t="shared" si="8"/>
        <v>44</v>
      </c>
      <c r="O50" s="214">
        <f t="shared" si="8"/>
        <v>3.3619999999999997</v>
      </c>
      <c r="P50" s="214">
        <f t="shared" si="8"/>
        <v>3.2920000000000003</v>
      </c>
      <c r="Q50" s="370">
        <f t="shared" si="8"/>
        <v>0</v>
      </c>
      <c r="R50" s="403">
        <f t="shared" ref="R50" si="9">ROUND(O50/M50/3*1000000,0)</f>
        <v>25470</v>
      </c>
      <c r="S50" s="403">
        <f t="shared" ref="S50" si="10">ROUND(P50/N50/3*1000000,0)</f>
        <v>24939</v>
      </c>
      <c r="T50" s="69"/>
      <c r="U50" s="69"/>
      <c r="V50" s="69"/>
      <c r="W50" s="69"/>
      <c r="X50" s="69"/>
      <c r="Y50" s="69"/>
      <c r="Z50" s="69"/>
      <c r="AA50" s="69"/>
      <c r="AB50" s="69"/>
    </row>
    <row r="51" spans="1:28" ht="18.75" customHeight="1" x14ac:dyDescent="0.25">
      <c r="A51" s="100"/>
      <c r="B51" s="429" t="s">
        <v>42</v>
      </c>
      <c r="C51" s="429"/>
      <c r="D51" s="430"/>
      <c r="E51" s="134"/>
      <c r="F51" s="181">
        <f>SUM(F52:F53)</f>
        <v>85.75</v>
      </c>
      <c r="G51" s="181">
        <f t="shared" ref="G51:P51" si="11">SUM(G52:G53)</f>
        <v>32.537999999999997</v>
      </c>
      <c r="H51" s="181">
        <f t="shared" si="11"/>
        <v>22.869999999999997</v>
      </c>
      <c r="I51" s="181">
        <f t="shared" si="11"/>
        <v>31.580000000000002</v>
      </c>
      <c r="J51" s="181">
        <f t="shared" si="11"/>
        <v>22.450000000000003</v>
      </c>
      <c r="K51" s="181">
        <f t="shared" si="11"/>
        <v>0.95799999999999752</v>
      </c>
      <c r="L51" s="181">
        <f t="shared" si="11"/>
        <v>0.41999999999999771</v>
      </c>
      <c r="M51" s="224">
        <f>SUM(M52:M53)</f>
        <v>12</v>
      </c>
      <c r="N51" s="224">
        <f t="shared" si="11"/>
        <v>12</v>
      </c>
      <c r="O51" s="181">
        <f t="shared" si="11"/>
        <v>1.0409999999999999</v>
      </c>
      <c r="P51" s="181">
        <f t="shared" si="11"/>
        <v>1.0150000000000001</v>
      </c>
      <c r="Q51" s="376">
        <f t="shared" ref="Q51" si="12">Q52</f>
        <v>0</v>
      </c>
      <c r="R51" s="265">
        <f t="shared" ref="R51" si="13">ROUND(O51/M51/3*1000000,0)</f>
        <v>28917</v>
      </c>
      <c r="S51" s="265">
        <f t="shared" ref="S51" si="14">ROUND(P51/N51/3*1000000,0)</f>
        <v>28194</v>
      </c>
      <c r="T51" s="69"/>
      <c r="U51" s="69"/>
      <c r="V51" s="69"/>
      <c r="W51" s="69"/>
      <c r="X51" s="69"/>
      <c r="Y51" s="69"/>
      <c r="Z51" s="69"/>
      <c r="AA51" s="69"/>
      <c r="AB51" s="69"/>
    </row>
    <row r="52" spans="1:28" s="132" customFormat="1" x14ac:dyDescent="0.25">
      <c r="A52" s="423" t="s">
        <v>212</v>
      </c>
      <c r="B52" s="424"/>
      <c r="C52" s="424"/>
      <c r="D52" s="425"/>
      <c r="E52" s="205" t="s">
        <v>349</v>
      </c>
      <c r="F52" s="178">
        <v>71.900000000000006</v>
      </c>
      <c r="G52" s="271">
        <v>26.757999999999999</v>
      </c>
      <c r="H52" s="271">
        <v>18.95</v>
      </c>
      <c r="I52" s="178">
        <v>26.1</v>
      </c>
      <c r="J52" s="178">
        <v>18.670000000000002</v>
      </c>
      <c r="K52" s="250">
        <f>G52-I52</f>
        <v>0.6579999999999977</v>
      </c>
      <c r="L52" s="250">
        <f>H52-J52</f>
        <v>0.27999999999999758</v>
      </c>
      <c r="M52" s="279">
        <v>5</v>
      </c>
      <c r="N52" s="279">
        <v>5</v>
      </c>
      <c r="O52" s="178">
        <v>0.62</v>
      </c>
      <c r="P52" s="178">
        <v>0.61</v>
      </c>
      <c r="Q52" s="377">
        <v>0</v>
      </c>
      <c r="R52" s="265">
        <f t="shared" ref="R52" si="15">ROUND(O52/M52/3*1000000,0)</f>
        <v>41333</v>
      </c>
      <c r="S52" s="265">
        <f t="shared" ref="S52" si="16">ROUND(P52/N52/3*1000000,0)</f>
        <v>40667</v>
      </c>
      <c r="T52" s="131"/>
      <c r="U52" s="131"/>
      <c r="V52" s="131"/>
      <c r="W52" s="131"/>
      <c r="X52" s="131"/>
      <c r="Y52" s="131"/>
      <c r="Z52" s="131"/>
      <c r="AA52" s="131"/>
      <c r="AB52" s="131"/>
    </row>
    <row r="53" spans="1:28" s="132" customFormat="1" x14ac:dyDescent="0.25">
      <c r="A53" s="423" t="s">
        <v>310</v>
      </c>
      <c r="B53" s="424"/>
      <c r="C53" s="424"/>
      <c r="D53" s="425"/>
      <c r="E53" s="205" t="s">
        <v>350</v>
      </c>
      <c r="F53" s="178">
        <v>13.85</v>
      </c>
      <c r="G53" s="271">
        <v>5.78</v>
      </c>
      <c r="H53" s="271">
        <v>3.92</v>
      </c>
      <c r="I53" s="178">
        <v>5.48</v>
      </c>
      <c r="J53" s="178">
        <v>3.78</v>
      </c>
      <c r="K53" s="250">
        <f>G53-I53</f>
        <v>0.29999999999999982</v>
      </c>
      <c r="L53" s="250">
        <f>H53-J53</f>
        <v>0.14000000000000012</v>
      </c>
      <c r="M53" s="279">
        <v>7</v>
      </c>
      <c r="N53" s="279">
        <v>7</v>
      </c>
      <c r="O53" s="178">
        <v>0.42099999999999999</v>
      </c>
      <c r="P53" s="178">
        <v>0.40500000000000003</v>
      </c>
      <c r="Q53" s="377">
        <v>0</v>
      </c>
      <c r="R53" s="265">
        <f t="shared" ref="R53" si="17">ROUND(O53/M53/3*1000000,0)</f>
        <v>20048</v>
      </c>
      <c r="S53" s="265">
        <f t="shared" ref="S53" si="18">ROUND(P53/N53/3*1000000,0)</f>
        <v>19286</v>
      </c>
      <c r="T53" s="131"/>
      <c r="U53" s="131"/>
      <c r="V53" s="131"/>
      <c r="W53" s="131"/>
      <c r="X53" s="131"/>
      <c r="Y53" s="131"/>
      <c r="Z53" s="131"/>
      <c r="AA53" s="131"/>
      <c r="AB53" s="131"/>
    </row>
    <row r="54" spans="1:28" s="132" customFormat="1" x14ac:dyDescent="0.25">
      <c r="A54" s="203"/>
      <c r="B54" s="204"/>
      <c r="C54" s="204"/>
      <c r="D54" s="205"/>
      <c r="E54" s="205"/>
      <c r="F54" s="178"/>
      <c r="G54" s="271"/>
      <c r="H54" s="271"/>
      <c r="I54" s="178"/>
      <c r="J54" s="178"/>
      <c r="K54" s="250"/>
      <c r="L54" s="250"/>
      <c r="M54" s="279"/>
      <c r="N54" s="279"/>
      <c r="O54" s="178"/>
      <c r="P54" s="178"/>
      <c r="Q54" s="377"/>
      <c r="R54" s="265"/>
      <c r="S54" s="265"/>
      <c r="T54" s="131"/>
      <c r="U54" s="131"/>
      <c r="V54" s="131"/>
      <c r="W54" s="131"/>
      <c r="X54" s="131"/>
      <c r="Y54" s="131"/>
      <c r="Z54" s="131"/>
      <c r="AA54" s="131"/>
      <c r="AB54" s="131"/>
    </row>
    <row r="55" spans="1:28" s="132" customFormat="1" x14ac:dyDescent="0.25">
      <c r="A55" s="203"/>
      <c r="B55" s="465" t="s">
        <v>264</v>
      </c>
      <c r="C55" s="465"/>
      <c r="D55" s="466"/>
      <c r="E55" s="329"/>
      <c r="F55" s="176">
        <f t="shared" ref="F55:Q55" si="19">SUM(F56:F59)</f>
        <v>47.835999999999999</v>
      </c>
      <c r="G55" s="176">
        <f t="shared" si="19"/>
        <v>12.286999999999999</v>
      </c>
      <c r="H55" s="176">
        <f t="shared" si="19"/>
        <v>8.0429999999999993</v>
      </c>
      <c r="I55" s="176">
        <f t="shared" si="19"/>
        <v>11.82</v>
      </c>
      <c r="J55" s="176">
        <f t="shared" si="19"/>
        <v>7.81</v>
      </c>
      <c r="K55" s="250">
        <f>G55-I55</f>
        <v>0.46699999999999875</v>
      </c>
      <c r="L55" s="250">
        <f>H55-J55</f>
        <v>0.23299999999999965</v>
      </c>
      <c r="M55" s="223">
        <f>SUM(M56:M59)</f>
        <v>32</v>
      </c>
      <c r="N55" s="223">
        <f>SUM(N56:N59)</f>
        <v>32</v>
      </c>
      <c r="O55" s="176">
        <f t="shared" si="19"/>
        <v>2.3209999999999997</v>
      </c>
      <c r="P55" s="176">
        <f t="shared" si="19"/>
        <v>2.2770000000000001</v>
      </c>
      <c r="Q55" s="378">
        <f t="shared" si="19"/>
        <v>0</v>
      </c>
      <c r="R55" s="265">
        <f t="shared" ref="R55" si="20">ROUND(O55/M55/3*1000000,0)</f>
        <v>24177</v>
      </c>
      <c r="S55" s="265">
        <f t="shared" ref="S55" si="21">ROUND(P55/N55/3*1000000,0)</f>
        <v>23719</v>
      </c>
      <c r="T55" s="131"/>
      <c r="U55" s="131"/>
      <c r="V55" s="131"/>
      <c r="W55" s="131"/>
      <c r="X55" s="131"/>
      <c r="Y55" s="131"/>
      <c r="Z55" s="131"/>
      <c r="AA55" s="131"/>
      <c r="AB55" s="131"/>
    </row>
    <row r="56" spans="1:28" s="132" customFormat="1" ht="24" customHeight="1" x14ac:dyDescent="0.25">
      <c r="A56" s="190" t="s">
        <v>266</v>
      </c>
      <c r="B56" s="191"/>
      <c r="C56" s="191"/>
      <c r="D56" s="192"/>
      <c r="E56" s="192" t="s">
        <v>349</v>
      </c>
      <c r="F56" s="176">
        <v>7.95</v>
      </c>
      <c r="G56" s="176">
        <v>3.12</v>
      </c>
      <c r="H56" s="176">
        <v>2.0699999999999998</v>
      </c>
      <c r="I56" s="176">
        <v>3.02</v>
      </c>
      <c r="J56" s="176">
        <v>2.0099999999999998</v>
      </c>
      <c r="K56" s="250">
        <f t="shared" ref="K56:K58" si="22">G56-I56</f>
        <v>0.10000000000000009</v>
      </c>
      <c r="L56" s="250">
        <f t="shared" ref="L56:L58" si="23">H56-J56</f>
        <v>6.0000000000000053E-2</v>
      </c>
      <c r="M56" s="188">
        <v>3</v>
      </c>
      <c r="N56" s="188">
        <v>3</v>
      </c>
      <c r="O56" s="235">
        <v>0.182</v>
      </c>
      <c r="P56" s="235">
        <v>0.17199999999999999</v>
      </c>
      <c r="Q56" s="378">
        <v>0</v>
      </c>
      <c r="R56" s="265">
        <f t="shared" ref="R56" si="24">ROUND(O56/M56/3*1000000,0)</f>
        <v>20222</v>
      </c>
      <c r="S56" s="265">
        <f t="shared" ref="S56" si="25">ROUND(P56/N56/3*1000000,0)</f>
        <v>19111</v>
      </c>
      <c r="T56" s="131"/>
      <c r="U56" s="131"/>
      <c r="V56" s="131"/>
      <c r="W56" s="131"/>
      <c r="X56" s="131"/>
      <c r="Y56" s="131"/>
      <c r="Z56" s="131"/>
      <c r="AA56" s="131"/>
      <c r="AB56" s="131"/>
    </row>
    <row r="57" spans="1:28" s="132" customFormat="1" ht="21" customHeight="1" x14ac:dyDescent="0.25">
      <c r="A57" s="423" t="s">
        <v>267</v>
      </c>
      <c r="B57" s="424"/>
      <c r="C57" s="424"/>
      <c r="D57" s="425"/>
      <c r="E57" s="103" t="s">
        <v>347</v>
      </c>
      <c r="F57" s="176">
        <v>10.15</v>
      </c>
      <c r="G57" s="176">
        <v>4.16</v>
      </c>
      <c r="H57" s="176">
        <v>2.65</v>
      </c>
      <c r="I57" s="176">
        <v>4.05</v>
      </c>
      <c r="J57" s="176">
        <v>2.6</v>
      </c>
      <c r="K57" s="250">
        <f t="shared" si="22"/>
        <v>0.11000000000000032</v>
      </c>
      <c r="L57" s="250">
        <f t="shared" si="23"/>
        <v>4.9999999999999822E-2</v>
      </c>
      <c r="M57" s="188">
        <v>4</v>
      </c>
      <c r="N57" s="188">
        <v>4</v>
      </c>
      <c r="O57" s="176">
        <v>0.245</v>
      </c>
      <c r="P57" s="176">
        <v>0.22900000000000001</v>
      </c>
      <c r="Q57" s="378">
        <v>0</v>
      </c>
      <c r="R57" s="265">
        <f t="shared" ref="R57" si="26">ROUND(O57/M57/3*1000000,0)</f>
        <v>20417</v>
      </c>
      <c r="S57" s="265">
        <f t="shared" ref="S57" si="27">ROUND(P57/N57/3*1000000,0)</f>
        <v>19083</v>
      </c>
      <c r="T57" s="131"/>
      <c r="U57" s="131"/>
      <c r="V57" s="131"/>
      <c r="W57" s="131"/>
      <c r="X57" s="131"/>
      <c r="Y57" s="131"/>
      <c r="Z57" s="131"/>
      <c r="AA57" s="131"/>
      <c r="AB57" s="131"/>
    </row>
    <row r="58" spans="1:28" s="132" customFormat="1" ht="20.25" customHeight="1" x14ac:dyDescent="0.25">
      <c r="A58" s="423" t="s">
        <v>311</v>
      </c>
      <c r="B58" s="424"/>
      <c r="C58" s="424"/>
      <c r="D58" s="425"/>
      <c r="E58" s="205" t="s">
        <v>351</v>
      </c>
      <c r="F58" s="176">
        <v>2.1</v>
      </c>
      <c r="G58" s="212">
        <v>0.71</v>
      </c>
      <c r="H58" s="212">
        <v>0.47799999999999998</v>
      </c>
      <c r="I58" s="176">
        <v>0.65</v>
      </c>
      <c r="J58" s="176">
        <v>0.45</v>
      </c>
      <c r="K58" s="250">
        <f t="shared" si="22"/>
        <v>5.9999999999999942E-2</v>
      </c>
      <c r="L58" s="250">
        <f t="shared" si="23"/>
        <v>2.7999999999999969E-2</v>
      </c>
      <c r="M58" s="188">
        <v>3</v>
      </c>
      <c r="N58" s="188">
        <v>3</v>
      </c>
      <c r="O58" s="176">
        <v>0.18</v>
      </c>
      <c r="P58" s="176">
        <v>0.17100000000000001</v>
      </c>
      <c r="Q58" s="378">
        <v>0</v>
      </c>
      <c r="R58" s="265">
        <f t="shared" ref="R58" si="28">ROUND(O58/M58/3*1000000,0)</f>
        <v>20000</v>
      </c>
      <c r="S58" s="265">
        <f t="shared" ref="S58" si="29">ROUND(P58/N58/3*1000000,0)</f>
        <v>19000</v>
      </c>
      <c r="T58" s="131"/>
      <c r="U58" s="131"/>
      <c r="V58" s="131"/>
      <c r="W58" s="131"/>
      <c r="X58" s="131"/>
      <c r="Y58" s="131"/>
      <c r="Z58" s="131"/>
      <c r="AA58" s="131"/>
      <c r="AB58" s="131"/>
    </row>
    <row r="59" spans="1:28" ht="22.5" customHeight="1" x14ac:dyDescent="0.25">
      <c r="A59" s="190" t="s">
        <v>231</v>
      </c>
      <c r="B59" s="191"/>
      <c r="C59" s="191"/>
      <c r="D59" s="192"/>
      <c r="E59" s="192" t="s">
        <v>358</v>
      </c>
      <c r="F59" s="176">
        <v>27.635999999999999</v>
      </c>
      <c r="G59" s="212">
        <v>4.2969999999999997</v>
      </c>
      <c r="H59" s="212">
        <v>2.8450000000000002</v>
      </c>
      <c r="I59" s="176">
        <v>4.0999999999999996</v>
      </c>
      <c r="J59" s="176">
        <v>2.75</v>
      </c>
      <c r="K59" s="235">
        <f t="shared" ref="K59:L59" si="30">G59-I59</f>
        <v>0.19700000000000006</v>
      </c>
      <c r="L59" s="235">
        <f t="shared" si="30"/>
        <v>9.5000000000000195E-2</v>
      </c>
      <c r="M59" s="188">
        <v>22</v>
      </c>
      <c r="N59" s="188">
        <v>22</v>
      </c>
      <c r="O59" s="176">
        <v>1.714</v>
      </c>
      <c r="P59" s="176">
        <v>1.7050000000000001</v>
      </c>
      <c r="Q59" s="378">
        <v>0</v>
      </c>
      <c r="R59" s="265">
        <f>ROUND(O59/M59/3*1000000,0)</f>
        <v>25970</v>
      </c>
      <c r="S59" s="265">
        <f>ROUND(P59/N59/3*1000000,0)</f>
        <v>25833</v>
      </c>
      <c r="T59" s="69"/>
      <c r="U59" s="69"/>
      <c r="V59" s="69"/>
      <c r="W59" s="69"/>
      <c r="X59" s="69"/>
      <c r="Y59" s="69"/>
      <c r="Z59" s="69"/>
      <c r="AA59" s="69"/>
      <c r="AB59" s="69"/>
    </row>
    <row r="60" spans="1:28" ht="22.5" customHeight="1" x14ac:dyDescent="0.25">
      <c r="A60" s="190"/>
      <c r="B60" s="201"/>
      <c r="C60" s="201"/>
      <c r="D60" s="202"/>
      <c r="E60" s="202"/>
      <c r="F60" s="176"/>
      <c r="G60" s="212"/>
      <c r="H60" s="212"/>
      <c r="I60" s="176"/>
      <c r="J60" s="176"/>
      <c r="K60" s="235"/>
      <c r="L60" s="235"/>
      <c r="M60" s="188"/>
      <c r="N60" s="188"/>
      <c r="O60" s="176"/>
      <c r="P60" s="176"/>
      <c r="Q60" s="378"/>
      <c r="R60" s="265"/>
      <c r="S60" s="265"/>
      <c r="T60" s="69"/>
      <c r="U60" s="69"/>
      <c r="V60" s="69"/>
      <c r="W60" s="69"/>
      <c r="X60" s="69"/>
      <c r="Y60" s="69"/>
      <c r="Z60" s="69"/>
      <c r="AA60" s="69"/>
      <c r="AB60" s="69"/>
    </row>
    <row r="61" spans="1:28" ht="33.75" customHeight="1" x14ac:dyDescent="0.25">
      <c r="A61" s="440" t="s">
        <v>79</v>
      </c>
      <c r="B61" s="441"/>
      <c r="C61" s="441"/>
      <c r="D61" s="442"/>
      <c r="E61" s="341"/>
      <c r="F61" s="255">
        <f>F63+F73</f>
        <v>240.53100000000001</v>
      </c>
      <c r="G61" s="256">
        <f>G63+G73</f>
        <v>51.320999999999998</v>
      </c>
      <c r="H61" s="256">
        <f>H63+H73</f>
        <v>50.438000000000002</v>
      </c>
      <c r="I61" s="255">
        <f>I63+I73</f>
        <v>50.188000000000002</v>
      </c>
      <c r="J61" s="256">
        <f>J63+J73</f>
        <v>48.641999999999996</v>
      </c>
      <c r="K61" s="255">
        <f>K63+K73</f>
        <v>1.1330000000000002</v>
      </c>
      <c r="L61" s="256">
        <f>L63+L73</f>
        <v>1.2120000000000017</v>
      </c>
      <c r="M61" s="288">
        <f>M63+M73</f>
        <v>158</v>
      </c>
      <c r="N61" s="288">
        <f>N63+N73</f>
        <v>157</v>
      </c>
      <c r="O61" s="255">
        <f>O63+O73</f>
        <v>11.381999999999998</v>
      </c>
      <c r="P61" s="256">
        <f>P63+P73</f>
        <v>10.725</v>
      </c>
      <c r="Q61" s="379">
        <f>Q63+Q73</f>
        <v>0</v>
      </c>
      <c r="R61" s="263">
        <f>ROUND(O61/M61/3*1000000,0)</f>
        <v>24013</v>
      </c>
      <c r="S61" s="263">
        <f>ROUND(P61/N61/3*1000000,0)</f>
        <v>22771</v>
      </c>
      <c r="T61" s="69"/>
      <c r="U61" s="69"/>
      <c r="V61" s="69"/>
      <c r="W61" s="69"/>
      <c r="X61" s="69"/>
      <c r="Y61" s="69"/>
      <c r="Z61" s="69"/>
      <c r="AA61" s="69"/>
      <c r="AB61" s="69"/>
    </row>
    <row r="62" spans="1:28" ht="18.75" customHeight="1" x14ac:dyDescent="0.25">
      <c r="A62" s="100"/>
      <c r="B62" s="427" t="s">
        <v>43</v>
      </c>
      <c r="C62" s="427"/>
      <c r="D62" s="428"/>
      <c r="E62" s="234"/>
      <c r="F62" s="213"/>
      <c r="G62" s="215"/>
      <c r="H62" s="215"/>
      <c r="I62" s="213"/>
      <c r="J62" s="213"/>
      <c r="K62" s="213"/>
      <c r="L62" s="213"/>
      <c r="M62" s="216"/>
      <c r="N62" s="216"/>
      <c r="O62" s="213"/>
      <c r="P62" s="213"/>
      <c r="Q62" s="375"/>
      <c r="R62" s="265"/>
      <c r="S62" s="265"/>
      <c r="T62" s="69"/>
      <c r="U62" s="69"/>
      <c r="V62" s="69"/>
      <c r="W62" s="69"/>
      <c r="X62" s="69"/>
      <c r="Y62" s="69"/>
      <c r="Z62" s="69"/>
      <c r="AA62" s="69"/>
      <c r="AB62" s="69"/>
    </row>
    <row r="63" spans="1:28" ht="45.75" customHeight="1" x14ac:dyDescent="0.25">
      <c r="A63" s="426" t="s">
        <v>151</v>
      </c>
      <c r="B63" s="426"/>
      <c r="C63" s="426"/>
      <c r="D63" s="426"/>
      <c r="E63" s="333"/>
      <c r="F63" s="214">
        <f>F64+F67</f>
        <v>94.176000000000002</v>
      </c>
      <c r="G63" s="214">
        <f>G64+G67</f>
        <v>23.215</v>
      </c>
      <c r="H63" s="214">
        <f>H64+H67</f>
        <v>22.580000000000002</v>
      </c>
      <c r="I63" s="214">
        <f>I64+I67</f>
        <v>22.84</v>
      </c>
      <c r="J63" s="214">
        <f>J64+J67</f>
        <v>22.255000000000003</v>
      </c>
      <c r="K63" s="214">
        <f>K64+K67</f>
        <v>0.37499999999999911</v>
      </c>
      <c r="L63" s="214">
        <f>L64+L67</f>
        <v>0.32500000000000062</v>
      </c>
      <c r="M63" s="269">
        <f>M64+M67</f>
        <v>90</v>
      </c>
      <c r="N63" s="269">
        <f>N64+N67</f>
        <v>90</v>
      </c>
      <c r="O63" s="214">
        <f>O64+O67</f>
        <v>5.4659999999999993</v>
      </c>
      <c r="P63" s="214">
        <f>P64+P67</f>
        <v>5.4009999999999998</v>
      </c>
      <c r="Q63" s="370">
        <f>Q64+Q67</f>
        <v>0</v>
      </c>
      <c r="R63" s="403">
        <f t="shared" ref="R63" si="31">ROUND(O63/M63/3*1000000,0)</f>
        <v>20244</v>
      </c>
      <c r="S63" s="403">
        <f t="shared" ref="S63" si="32">ROUND(P63/N63/3*1000000,0)</f>
        <v>20004</v>
      </c>
      <c r="T63" s="69"/>
      <c r="U63" s="69"/>
      <c r="V63" s="69"/>
      <c r="W63" s="69"/>
      <c r="X63" s="69"/>
      <c r="Y63" s="69"/>
      <c r="Z63" s="69"/>
      <c r="AA63" s="69"/>
      <c r="AB63" s="69"/>
    </row>
    <row r="64" spans="1:28" ht="15.75" customHeight="1" x14ac:dyDescent="0.25">
      <c r="A64" s="100"/>
      <c r="B64" s="429" t="s">
        <v>42</v>
      </c>
      <c r="C64" s="429"/>
      <c r="D64" s="430"/>
      <c r="E64" s="134"/>
      <c r="F64" s="217">
        <f>SUM(F65:F65)</f>
        <v>17.010000000000002</v>
      </c>
      <c r="G64" s="217">
        <f>SUM(G65:G65)</f>
        <v>2.1</v>
      </c>
      <c r="H64" s="217">
        <f>SUM(H65:H65)</f>
        <v>2.2000000000000002</v>
      </c>
      <c r="I64" s="217">
        <f>SUM(I65:I65)</f>
        <v>2.0699999999999998</v>
      </c>
      <c r="J64" s="217">
        <f>SUM(J65:J65)</f>
        <v>2.1949999999999998</v>
      </c>
      <c r="K64" s="250">
        <f t="shared" ref="K64:K65" si="33">G64-I64</f>
        <v>3.0000000000000249E-2</v>
      </c>
      <c r="L64" s="250">
        <f t="shared" ref="L64:L65" si="34">H64-J64</f>
        <v>5.0000000000003375E-3</v>
      </c>
      <c r="M64" s="249">
        <f>SUM(M65:M65)</f>
        <v>37</v>
      </c>
      <c r="N64" s="249">
        <f>SUM(N65:N65)</f>
        <v>37</v>
      </c>
      <c r="O64" s="217">
        <f>SUM(O65:O65)</f>
        <v>2.0329999999999999</v>
      </c>
      <c r="P64" s="217">
        <f>SUM(P65:P65)</f>
        <v>2.0059999999999998</v>
      </c>
      <c r="Q64" s="380">
        <f>SUM(Q65:Q65)</f>
        <v>0</v>
      </c>
      <c r="R64" s="265">
        <f t="shared" ref="R64:R65" si="35">ROUND(O64/M64/3*1000000,0)</f>
        <v>18315</v>
      </c>
      <c r="S64" s="265">
        <f t="shared" ref="S64:S65" si="36">ROUND(P64/N64/3*1000000,0)</f>
        <v>18072</v>
      </c>
      <c r="T64" s="69"/>
      <c r="U64" s="69"/>
      <c r="V64" s="69"/>
      <c r="W64" s="69"/>
      <c r="X64" s="69"/>
      <c r="Y64" s="69"/>
      <c r="Z64" s="69"/>
      <c r="AA64" s="69"/>
      <c r="AB64" s="69"/>
    </row>
    <row r="65" spans="1:28" s="132" customFormat="1" x14ac:dyDescent="0.25">
      <c r="A65" s="423" t="s">
        <v>213</v>
      </c>
      <c r="B65" s="424"/>
      <c r="C65" s="424"/>
      <c r="D65" s="425"/>
      <c r="E65" s="103" t="s">
        <v>347</v>
      </c>
      <c r="F65" s="176">
        <v>17.010000000000002</v>
      </c>
      <c r="G65" s="212">
        <v>2.1</v>
      </c>
      <c r="H65" s="212">
        <v>2.2000000000000002</v>
      </c>
      <c r="I65" s="176">
        <v>2.0699999999999998</v>
      </c>
      <c r="J65" s="176">
        <v>2.1949999999999998</v>
      </c>
      <c r="K65" s="250">
        <f t="shared" si="33"/>
        <v>3.0000000000000249E-2</v>
      </c>
      <c r="L65" s="250">
        <f t="shared" si="34"/>
        <v>5.0000000000003375E-3</v>
      </c>
      <c r="M65" s="188">
        <v>37</v>
      </c>
      <c r="N65" s="188">
        <v>37</v>
      </c>
      <c r="O65" s="176">
        <v>2.0329999999999999</v>
      </c>
      <c r="P65" s="176">
        <v>2.0059999999999998</v>
      </c>
      <c r="Q65" s="378">
        <v>0</v>
      </c>
      <c r="R65" s="265">
        <f t="shared" si="35"/>
        <v>18315</v>
      </c>
      <c r="S65" s="265">
        <f t="shared" si="36"/>
        <v>18072</v>
      </c>
      <c r="T65" s="131"/>
      <c r="U65" s="131"/>
      <c r="V65" s="131"/>
      <c r="W65" s="131"/>
      <c r="X65" s="131"/>
      <c r="Y65" s="131"/>
      <c r="Z65" s="131"/>
      <c r="AA65" s="131"/>
      <c r="AB65" s="131"/>
    </row>
    <row r="66" spans="1:28" s="132" customFormat="1" x14ac:dyDescent="0.25">
      <c r="A66" s="203"/>
      <c r="B66" s="204"/>
      <c r="C66" s="204"/>
      <c r="D66" s="205"/>
      <c r="E66" s="205"/>
      <c r="F66" s="176"/>
      <c r="G66" s="212"/>
      <c r="H66" s="212"/>
      <c r="I66" s="176"/>
      <c r="J66" s="176"/>
      <c r="K66" s="176"/>
      <c r="L66" s="176"/>
      <c r="M66" s="188"/>
      <c r="N66" s="188"/>
      <c r="O66" s="176"/>
      <c r="P66" s="176"/>
      <c r="Q66" s="378"/>
      <c r="R66" s="265"/>
      <c r="S66" s="265"/>
      <c r="T66" s="131"/>
      <c r="U66" s="131"/>
      <c r="V66" s="131"/>
      <c r="W66" s="131"/>
      <c r="X66" s="131"/>
      <c r="Y66" s="131"/>
      <c r="Z66" s="131"/>
      <c r="AA66" s="131"/>
      <c r="AB66" s="131"/>
    </row>
    <row r="67" spans="1:28" s="132" customFormat="1" x14ac:dyDescent="0.25">
      <c r="A67" s="203"/>
      <c r="B67" s="429" t="s">
        <v>264</v>
      </c>
      <c r="C67" s="429"/>
      <c r="D67" s="430"/>
      <c r="E67" s="134"/>
      <c r="F67" s="176">
        <f t="shared" ref="F67:P67" si="37">SUM(F68:F71)</f>
        <v>77.165999999999997</v>
      </c>
      <c r="G67" s="176">
        <f t="shared" si="37"/>
        <v>21.114999999999998</v>
      </c>
      <c r="H67" s="176">
        <f t="shared" si="37"/>
        <v>20.380000000000003</v>
      </c>
      <c r="I67" s="176">
        <f t="shared" si="37"/>
        <v>20.77</v>
      </c>
      <c r="J67" s="176">
        <f t="shared" si="37"/>
        <v>20.060000000000002</v>
      </c>
      <c r="K67" s="250">
        <f t="shared" ref="K67:K71" si="38">G67-I67</f>
        <v>0.34499999999999886</v>
      </c>
      <c r="L67" s="250">
        <f t="shared" ref="L67:L71" si="39">H67-J67</f>
        <v>0.32000000000000028</v>
      </c>
      <c r="M67" s="223">
        <f t="shared" si="37"/>
        <v>53</v>
      </c>
      <c r="N67" s="223">
        <f t="shared" si="37"/>
        <v>53</v>
      </c>
      <c r="O67" s="176">
        <f t="shared" si="37"/>
        <v>3.4329999999999998</v>
      </c>
      <c r="P67" s="176">
        <f t="shared" si="37"/>
        <v>3.395</v>
      </c>
      <c r="Q67" s="378">
        <f t="shared" ref="Q67" si="40">SUM(Q68:Q69)</f>
        <v>0</v>
      </c>
      <c r="R67" s="265">
        <f t="shared" ref="R67:R71" si="41">ROUND(O67/M67/3*1000000,0)</f>
        <v>21591</v>
      </c>
      <c r="S67" s="265">
        <f t="shared" ref="S67:S71" si="42">ROUND(P67/N67/3*1000000,0)</f>
        <v>21352</v>
      </c>
      <c r="T67" s="131"/>
      <c r="U67" s="131"/>
      <c r="V67" s="131"/>
      <c r="W67" s="131"/>
      <c r="X67" s="131"/>
      <c r="Y67" s="131"/>
      <c r="Z67" s="131"/>
      <c r="AA67" s="131"/>
      <c r="AB67" s="131"/>
    </row>
    <row r="68" spans="1:28" s="132" customFormat="1" x14ac:dyDescent="0.25">
      <c r="A68" s="190" t="s">
        <v>296</v>
      </c>
      <c r="B68" s="191"/>
      <c r="C68" s="191"/>
      <c r="D68" s="192"/>
      <c r="E68" s="192" t="s">
        <v>358</v>
      </c>
      <c r="F68" s="176">
        <v>26.16</v>
      </c>
      <c r="G68" s="212">
        <v>5.26</v>
      </c>
      <c r="H68" s="212">
        <v>5.28</v>
      </c>
      <c r="I68" s="176">
        <v>5.21</v>
      </c>
      <c r="J68" s="176">
        <v>5.2</v>
      </c>
      <c r="K68" s="250">
        <f t="shared" si="38"/>
        <v>4.9999999999999822E-2</v>
      </c>
      <c r="L68" s="250">
        <f t="shared" si="39"/>
        <v>8.0000000000000071E-2</v>
      </c>
      <c r="M68" s="188">
        <v>13</v>
      </c>
      <c r="N68" s="188">
        <v>13</v>
      </c>
      <c r="O68" s="176">
        <v>1.1200000000000001</v>
      </c>
      <c r="P68" s="176">
        <v>1.1000000000000001</v>
      </c>
      <c r="Q68" s="378">
        <v>0</v>
      </c>
      <c r="R68" s="265">
        <f t="shared" si="41"/>
        <v>28718</v>
      </c>
      <c r="S68" s="265">
        <f t="shared" si="42"/>
        <v>28205</v>
      </c>
      <c r="T68" s="131"/>
      <c r="U68" s="131"/>
      <c r="V68" s="131"/>
      <c r="W68" s="131"/>
      <c r="X68" s="131"/>
      <c r="Y68" s="131"/>
      <c r="Z68" s="131"/>
      <c r="AA68" s="131"/>
      <c r="AB68" s="131"/>
    </row>
    <row r="69" spans="1:28" s="132" customFormat="1" x14ac:dyDescent="0.25">
      <c r="A69" s="190" t="s">
        <v>232</v>
      </c>
      <c r="B69" s="191"/>
      <c r="C69" s="191"/>
      <c r="D69" s="192"/>
      <c r="E69" s="202" t="s">
        <v>359</v>
      </c>
      <c r="F69" s="151">
        <v>34.15</v>
      </c>
      <c r="G69" s="151">
        <v>9.1</v>
      </c>
      <c r="H69" s="151">
        <v>8.4499999999999993</v>
      </c>
      <c r="I69" s="151">
        <v>8.92</v>
      </c>
      <c r="J69" s="151">
        <v>8.3000000000000007</v>
      </c>
      <c r="K69" s="250">
        <f t="shared" si="38"/>
        <v>0.17999999999999972</v>
      </c>
      <c r="L69" s="250">
        <f t="shared" si="39"/>
        <v>0.14999999999999858</v>
      </c>
      <c r="M69" s="152">
        <v>18</v>
      </c>
      <c r="N69" s="152">
        <v>18</v>
      </c>
      <c r="O69" s="151">
        <v>1.1359999999999999</v>
      </c>
      <c r="P69" s="151">
        <v>1.1299999999999999</v>
      </c>
      <c r="Q69" s="381">
        <v>0</v>
      </c>
      <c r="R69" s="265">
        <f t="shared" si="41"/>
        <v>21037</v>
      </c>
      <c r="S69" s="265">
        <f t="shared" si="42"/>
        <v>20926</v>
      </c>
      <c r="T69" s="131"/>
      <c r="U69" s="131"/>
      <c r="V69" s="131"/>
      <c r="W69" s="131"/>
      <c r="X69" s="131"/>
      <c r="Y69" s="131"/>
      <c r="Z69" s="131"/>
      <c r="AA69" s="131"/>
      <c r="AB69" s="131"/>
    </row>
    <row r="70" spans="1:28" s="132" customFormat="1" x14ac:dyDescent="0.25">
      <c r="A70" s="190" t="s">
        <v>360</v>
      </c>
      <c r="B70" s="191"/>
      <c r="C70" s="191"/>
      <c r="D70" s="192"/>
      <c r="E70" s="202" t="s">
        <v>361</v>
      </c>
      <c r="F70" s="151"/>
      <c r="G70" s="151">
        <v>3.2</v>
      </c>
      <c r="H70" s="151">
        <v>3.12</v>
      </c>
      <c r="I70" s="151">
        <v>3.16</v>
      </c>
      <c r="J70" s="151">
        <v>3.1</v>
      </c>
      <c r="K70" s="250">
        <f t="shared" si="38"/>
        <v>4.0000000000000036E-2</v>
      </c>
      <c r="L70" s="250">
        <f t="shared" si="39"/>
        <v>2.0000000000000018E-2</v>
      </c>
      <c r="M70" s="152">
        <v>19</v>
      </c>
      <c r="N70" s="152">
        <v>19</v>
      </c>
      <c r="O70" s="151">
        <v>1.0069999999999999</v>
      </c>
      <c r="P70" s="151">
        <v>1.002</v>
      </c>
      <c r="Q70" s="381"/>
      <c r="R70" s="265">
        <f t="shared" si="41"/>
        <v>17667</v>
      </c>
      <c r="S70" s="265">
        <f t="shared" si="42"/>
        <v>17579</v>
      </c>
      <c r="T70" s="131"/>
      <c r="U70" s="131"/>
      <c r="V70" s="131"/>
      <c r="W70" s="131"/>
      <c r="X70" s="131"/>
      <c r="Y70" s="131"/>
      <c r="Z70" s="131"/>
      <c r="AA70" s="131"/>
      <c r="AB70" s="131"/>
    </row>
    <row r="71" spans="1:28" s="132" customFormat="1" x14ac:dyDescent="0.25">
      <c r="A71" s="423" t="s">
        <v>267</v>
      </c>
      <c r="B71" s="424"/>
      <c r="C71" s="424"/>
      <c r="D71" s="425"/>
      <c r="E71" s="103" t="s">
        <v>347</v>
      </c>
      <c r="F71" s="176">
        <v>16.856000000000002</v>
      </c>
      <c r="G71" s="176">
        <v>3.5550000000000002</v>
      </c>
      <c r="H71" s="176">
        <v>3.53</v>
      </c>
      <c r="I71" s="176">
        <v>3.48</v>
      </c>
      <c r="J71" s="176">
        <v>3.46</v>
      </c>
      <c r="K71" s="250">
        <f t="shared" si="38"/>
        <v>7.5000000000000178E-2</v>
      </c>
      <c r="L71" s="250">
        <f t="shared" si="39"/>
        <v>6.999999999999984E-2</v>
      </c>
      <c r="M71" s="188">
        <v>3</v>
      </c>
      <c r="N71" s="188">
        <v>3</v>
      </c>
      <c r="O71" s="176">
        <v>0.17</v>
      </c>
      <c r="P71" s="176">
        <v>0.16300000000000001</v>
      </c>
      <c r="Q71" s="378">
        <v>0</v>
      </c>
      <c r="R71" s="265">
        <f t="shared" si="41"/>
        <v>18889</v>
      </c>
      <c r="S71" s="265">
        <f t="shared" si="42"/>
        <v>18111</v>
      </c>
      <c r="T71" s="131"/>
      <c r="U71" s="131"/>
      <c r="V71" s="131"/>
      <c r="W71" s="131"/>
      <c r="X71" s="131"/>
      <c r="Y71" s="131"/>
      <c r="Z71" s="131"/>
      <c r="AA71" s="131"/>
      <c r="AB71" s="131"/>
    </row>
    <row r="72" spans="1:28" s="132" customFormat="1" x14ac:dyDescent="0.25">
      <c r="A72" s="203"/>
      <c r="B72" s="204"/>
      <c r="C72" s="204"/>
      <c r="D72" s="205"/>
      <c r="E72" s="205"/>
      <c r="F72" s="213"/>
      <c r="G72" s="215"/>
      <c r="H72" s="215"/>
      <c r="I72" s="213"/>
      <c r="J72" s="213"/>
      <c r="K72" s="213"/>
      <c r="L72" s="213"/>
      <c r="M72" s="216"/>
      <c r="N72" s="216"/>
      <c r="O72" s="213"/>
      <c r="P72" s="213"/>
      <c r="Q72" s="375"/>
      <c r="R72" s="265"/>
      <c r="S72" s="265"/>
      <c r="T72" s="131"/>
      <c r="U72" s="131"/>
      <c r="V72" s="131"/>
      <c r="W72" s="131"/>
      <c r="X72" s="131"/>
      <c r="Y72" s="131"/>
      <c r="Z72" s="131"/>
      <c r="AA72" s="131"/>
      <c r="AB72" s="131"/>
    </row>
    <row r="73" spans="1:28" ht="30" customHeight="1" x14ac:dyDescent="0.25">
      <c r="A73" s="460" t="s">
        <v>255</v>
      </c>
      <c r="B73" s="461"/>
      <c r="C73" s="461"/>
      <c r="D73" s="462"/>
      <c r="E73" s="326"/>
      <c r="F73" s="214">
        <f t="shared" ref="F73:Q73" si="43">F74+F81</f>
        <v>146.35499999999999</v>
      </c>
      <c r="G73" s="214">
        <f t="shared" si="43"/>
        <v>28.106000000000002</v>
      </c>
      <c r="H73" s="214">
        <f t="shared" si="43"/>
        <v>27.858000000000001</v>
      </c>
      <c r="I73" s="214">
        <f t="shared" si="43"/>
        <v>27.347999999999999</v>
      </c>
      <c r="J73" s="214">
        <f t="shared" si="43"/>
        <v>26.386999999999997</v>
      </c>
      <c r="K73" s="214">
        <f t="shared" si="43"/>
        <v>0.75800000000000112</v>
      </c>
      <c r="L73" s="214">
        <f t="shared" si="43"/>
        <v>0.88700000000000112</v>
      </c>
      <c r="M73" s="269">
        <f t="shared" si="43"/>
        <v>68</v>
      </c>
      <c r="N73" s="269">
        <f t="shared" si="43"/>
        <v>67</v>
      </c>
      <c r="O73" s="214">
        <f t="shared" si="43"/>
        <v>5.9159999999999995</v>
      </c>
      <c r="P73" s="214">
        <f t="shared" si="43"/>
        <v>5.3239999999999998</v>
      </c>
      <c r="Q73" s="370">
        <f t="shared" si="43"/>
        <v>0</v>
      </c>
      <c r="R73" s="403">
        <f t="shared" ref="R73:R74" si="44">ROUND(O73/M73/3*1000000,0)</f>
        <v>29000</v>
      </c>
      <c r="S73" s="403">
        <f t="shared" ref="S73:S74" si="45">ROUND(P73/N73/3*1000000,0)</f>
        <v>26488</v>
      </c>
      <c r="T73" s="69"/>
      <c r="U73" s="69"/>
      <c r="V73" s="69"/>
      <c r="W73" s="69"/>
      <c r="X73" s="69"/>
      <c r="Y73" s="69"/>
      <c r="Z73" s="69"/>
      <c r="AA73" s="69"/>
      <c r="AB73" s="69"/>
    </row>
    <row r="74" spans="1:28" ht="15.75" customHeight="1" x14ac:dyDescent="0.25">
      <c r="A74" s="190"/>
      <c r="B74" s="429" t="s">
        <v>42</v>
      </c>
      <c r="C74" s="429"/>
      <c r="D74" s="430"/>
      <c r="E74" s="134"/>
      <c r="F74" s="181">
        <f>SUM(F75:F79)</f>
        <v>86.534999999999997</v>
      </c>
      <c r="G74" s="181">
        <f>SUM(G75:G79)</f>
        <v>21.226000000000003</v>
      </c>
      <c r="H74" s="181">
        <f>SUM(H75:H79)</f>
        <v>19.006</v>
      </c>
      <c r="I74" s="181">
        <f t="shared" ref="I74:Q74" si="46">SUM(I75:I79)</f>
        <v>20.797999999999998</v>
      </c>
      <c r="J74" s="181">
        <f>SUM(J75:J79)</f>
        <v>18.858999999999998</v>
      </c>
      <c r="K74" s="181">
        <f>SUM(K75:K79)</f>
        <v>0.42800000000000105</v>
      </c>
      <c r="L74" s="181">
        <f>SUM(L75:L79)</f>
        <v>0.14700000000000069</v>
      </c>
      <c r="M74" s="224">
        <f t="shared" ref="M74:N74" si="47">SUM(M75:M79)</f>
        <v>51</v>
      </c>
      <c r="N74" s="224">
        <f t="shared" si="47"/>
        <v>50</v>
      </c>
      <c r="O74" s="181">
        <f t="shared" si="46"/>
        <v>5.1609999999999996</v>
      </c>
      <c r="P74" s="181">
        <f t="shared" si="46"/>
        <v>4.5880000000000001</v>
      </c>
      <c r="Q74" s="376">
        <f t="shared" si="46"/>
        <v>0</v>
      </c>
      <c r="R74" s="265">
        <f t="shared" si="44"/>
        <v>33732</v>
      </c>
      <c r="S74" s="265">
        <f t="shared" si="45"/>
        <v>30587</v>
      </c>
      <c r="T74" s="69"/>
      <c r="U74" s="69"/>
      <c r="V74" s="69"/>
      <c r="W74" s="69"/>
      <c r="X74" s="69"/>
      <c r="Y74" s="69"/>
      <c r="Z74" s="69"/>
      <c r="AA74" s="69"/>
      <c r="AB74" s="69"/>
    </row>
    <row r="75" spans="1:28" ht="15.75" customHeight="1" x14ac:dyDescent="0.25">
      <c r="A75" s="190"/>
      <c r="B75" s="191"/>
      <c r="C75" s="191"/>
      <c r="D75" s="192"/>
      <c r="E75" s="192"/>
      <c r="F75" s="176"/>
      <c r="G75" s="212"/>
      <c r="H75" s="212"/>
      <c r="I75" s="176"/>
      <c r="J75" s="176"/>
      <c r="K75" s="235"/>
      <c r="L75" s="235"/>
      <c r="M75" s="188"/>
      <c r="N75" s="188"/>
      <c r="O75" s="176"/>
      <c r="P75" s="176"/>
      <c r="Q75" s="378"/>
      <c r="R75" s="265"/>
      <c r="S75" s="265"/>
      <c r="T75" s="69"/>
      <c r="U75" s="69"/>
      <c r="V75" s="69"/>
      <c r="W75" s="69"/>
      <c r="X75" s="69"/>
      <c r="Y75" s="69"/>
      <c r="Z75" s="69"/>
      <c r="AA75" s="69"/>
      <c r="AB75" s="69"/>
    </row>
    <row r="76" spans="1:28" ht="15.75" customHeight="1" x14ac:dyDescent="0.25">
      <c r="A76" s="190" t="s">
        <v>214</v>
      </c>
      <c r="B76" s="191"/>
      <c r="C76" s="191"/>
      <c r="D76" s="192"/>
      <c r="E76" s="103" t="s">
        <v>347</v>
      </c>
      <c r="F76" s="176">
        <v>14.46</v>
      </c>
      <c r="G76" s="212">
        <v>2.95</v>
      </c>
      <c r="H76" s="212">
        <v>2.9950000000000001</v>
      </c>
      <c r="I76" s="176">
        <v>2.79</v>
      </c>
      <c r="J76" s="176">
        <v>2.8</v>
      </c>
      <c r="K76" s="250">
        <f t="shared" ref="K76:K79" si="48">G76-I76</f>
        <v>0.16000000000000014</v>
      </c>
      <c r="L76" s="250">
        <f t="shared" ref="L76:L79" si="49">H76-J76</f>
        <v>0.19500000000000028</v>
      </c>
      <c r="M76" s="188">
        <v>7</v>
      </c>
      <c r="N76" s="188">
        <v>7</v>
      </c>
      <c r="O76" s="176">
        <v>0.44</v>
      </c>
      <c r="P76" s="176">
        <v>0.42499999999999999</v>
      </c>
      <c r="Q76" s="378">
        <v>0</v>
      </c>
      <c r="R76" s="265">
        <f t="shared" ref="R76:R79" si="50">ROUND(O76/M76/3*1000000,0)</f>
        <v>20952</v>
      </c>
      <c r="S76" s="265">
        <f t="shared" ref="S76:S79" si="51">ROUND(P76/N76/3*1000000,0)</f>
        <v>20238</v>
      </c>
      <c r="T76" s="69"/>
      <c r="U76" s="69"/>
      <c r="V76" s="69"/>
      <c r="W76" s="69"/>
      <c r="X76" s="69"/>
      <c r="Y76" s="69"/>
      <c r="Z76" s="69"/>
      <c r="AA76" s="69"/>
      <c r="AB76" s="69"/>
    </row>
    <row r="77" spans="1:28" ht="15.75" customHeight="1" x14ac:dyDescent="0.25">
      <c r="A77" s="190" t="s">
        <v>256</v>
      </c>
      <c r="B77" s="191"/>
      <c r="C77" s="191"/>
      <c r="D77" s="192"/>
      <c r="E77" s="103" t="s">
        <v>347</v>
      </c>
      <c r="F77" s="178">
        <v>45.597999999999999</v>
      </c>
      <c r="G77" s="178">
        <v>12.156000000000001</v>
      </c>
      <c r="H77" s="178">
        <v>10.476000000000001</v>
      </c>
      <c r="I77" s="178">
        <v>12.148</v>
      </c>
      <c r="J77" s="178">
        <v>10.775</v>
      </c>
      <c r="K77" s="250">
        <f t="shared" si="48"/>
        <v>8.0000000000008953E-3</v>
      </c>
      <c r="L77" s="400">
        <f t="shared" si="49"/>
        <v>-0.29899999999999949</v>
      </c>
      <c r="M77" s="279">
        <v>28</v>
      </c>
      <c r="N77" s="279">
        <v>27</v>
      </c>
      <c r="O77" s="178">
        <v>3.8660000000000001</v>
      </c>
      <c r="P77" s="178">
        <v>3.2909999999999999</v>
      </c>
      <c r="Q77" s="377">
        <v>0</v>
      </c>
      <c r="R77" s="265">
        <f t="shared" si="50"/>
        <v>46024</v>
      </c>
      <c r="S77" s="265">
        <f t="shared" si="51"/>
        <v>40630</v>
      </c>
      <c r="T77" s="69"/>
      <c r="U77" s="69"/>
      <c r="V77" s="69"/>
      <c r="W77" s="69"/>
      <c r="X77" s="69"/>
      <c r="Y77" s="69"/>
      <c r="Z77" s="69"/>
      <c r="AA77" s="69"/>
      <c r="AB77" s="69"/>
    </row>
    <row r="78" spans="1:28" ht="15.75" customHeight="1" x14ac:dyDescent="0.25">
      <c r="A78" s="190" t="s">
        <v>215</v>
      </c>
      <c r="B78" s="191"/>
      <c r="C78" s="191"/>
      <c r="D78" s="192"/>
      <c r="E78" s="103" t="s">
        <v>347</v>
      </c>
      <c r="F78" s="176">
        <v>8.8770000000000007</v>
      </c>
      <c r="G78" s="176">
        <v>2.12</v>
      </c>
      <c r="H78" s="176">
        <v>1.48</v>
      </c>
      <c r="I78" s="176">
        <v>1.91</v>
      </c>
      <c r="J78" s="176">
        <v>1.282</v>
      </c>
      <c r="K78" s="250">
        <f t="shared" si="48"/>
        <v>0.21000000000000019</v>
      </c>
      <c r="L78" s="250">
        <f t="shared" si="49"/>
        <v>0.19799999999999995</v>
      </c>
      <c r="M78" s="188">
        <v>3</v>
      </c>
      <c r="N78" s="188">
        <v>3</v>
      </c>
      <c r="O78" s="176">
        <v>0.185</v>
      </c>
      <c r="P78" s="176">
        <v>0.189</v>
      </c>
      <c r="Q78" s="378">
        <v>0</v>
      </c>
      <c r="R78" s="265">
        <f t="shared" si="50"/>
        <v>20556</v>
      </c>
      <c r="S78" s="265">
        <f t="shared" si="51"/>
        <v>21000</v>
      </c>
      <c r="T78" s="69"/>
      <c r="U78" s="69"/>
      <c r="V78" s="69"/>
      <c r="W78" s="69"/>
      <c r="X78" s="69"/>
      <c r="Y78" s="69"/>
      <c r="Z78" s="69"/>
      <c r="AA78" s="69"/>
      <c r="AB78" s="69"/>
    </row>
    <row r="79" spans="1:28" ht="15.75" customHeight="1" x14ac:dyDescent="0.25">
      <c r="A79" s="190" t="s">
        <v>238</v>
      </c>
      <c r="B79" s="191"/>
      <c r="C79" s="191"/>
      <c r="D79" s="192"/>
      <c r="E79" s="103" t="s">
        <v>347</v>
      </c>
      <c r="F79" s="176">
        <v>17.600000000000001</v>
      </c>
      <c r="G79" s="212">
        <v>4</v>
      </c>
      <c r="H79" s="212">
        <v>4.0549999999999997</v>
      </c>
      <c r="I79" s="176">
        <v>3.95</v>
      </c>
      <c r="J79" s="176">
        <v>4.0019999999999998</v>
      </c>
      <c r="K79" s="250">
        <f t="shared" si="48"/>
        <v>4.9999999999999822E-2</v>
      </c>
      <c r="L79" s="250">
        <f t="shared" si="49"/>
        <v>5.2999999999999936E-2</v>
      </c>
      <c r="M79" s="188">
        <v>13</v>
      </c>
      <c r="N79" s="188">
        <v>13</v>
      </c>
      <c r="O79" s="176">
        <v>0.67</v>
      </c>
      <c r="P79" s="176">
        <v>0.68300000000000005</v>
      </c>
      <c r="Q79" s="378">
        <v>0</v>
      </c>
      <c r="R79" s="265">
        <f t="shared" si="50"/>
        <v>17179</v>
      </c>
      <c r="S79" s="265">
        <f t="shared" si="51"/>
        <v>17513</v>
      </c>
      <c r="T79" s="69"/>
      <c r="U79" s="69"/>
      <c r="V79" s="69"/>
      <c r="W79" s="69"/>
      <c r="X79" s="69"/>
      <c r="Y79" s="69"/>
      <c r="Z79" s="69"/>
      <c r="AA79" s="69"/>
      <c r="AB79" s="69"/>
    </row>
    <row r="80" spans="1:28" x14ac:dyDescent="0.25">
      <c r="A80" s="190"/>
      <c r="B80" s="191"/>
      <c r="C80" s="191"/>
      <c r="D80" s="192"/>
      <c r="E80" s="192"/>
      <c r="F80" s="176"/>
      <c r="G80" s="212"/>
      <c r="H80" s="212"/>
      <c r="I80" s="176"/>
      <c r="J80" s="176"/>
      <c r="K80" s="176"/>
      <c r="L80" s="176"/>
      <c r="M80" s="188"/>
      <c r="N80" s="188"/>
      <c r="O80" s="176"/>
      <c r="P80" s="176"/>
      <c r="Q80" s="378"/>
      <c r="R80" s="265"/>
      <c r="S80" s="265"/>
      <c r="T80" s="69"/>
      <c r="U80" s="69"/>
      <c r="V80" s="69"/>
      <c r="W80" s="69"/>
      <c r="X80" s="69"/>
      <c r="Y80" s="69"/>
      <c r="Z80" s="69"/>
      <c r="AA80" s="69"/>
      <c r="AB80" s="69"/>
    </row>
    <row r="81" spans="1:28" ht="15.75" customHeight="1" x14ac:dyDescent="0.25">
      <c r="A81" s="190"/>
      <c r="B81" s="429" t="s">
        <v>264</v>
      </c>
      <c r="C81" s="429"/>
      <c r="D81" s="430"/>
      <c r="E81" s="134"/>
      <c r="F81" s="176">
        <f>SUM(F82:F84)</f>
        <v>59.82</v>
      </c>
      <c r="G81" s="176">
        <f>SUM(G82:G84)</f>
        <v>6.88</v>
      </c>
      <c r="H81" s="176">
        <f>SUM(H82:H84)</f>
        <v>8.8520000000000003</v>
      </c>
      <c r="I81" s="176">
        <f>SUM(I82:I84)</f>
        <v>6.55</v>
      </c>
      <c r="J81" s="176">
        <f>SUM(J82:J84)</f>
        <v>7.5279999999999996</v>
      </c>
      <c r="K81" s="250">
        <f t="shared" ref="K81:K84" si="52">G81-I81</f>
        <v>0.33000000000000007</v>
      </c>
      <c r="L81" s="181">
        <f>SUM(L82:L84)</f>
        <v>0.74000000000000044</v>
      </c>
      <c r="M81" s="223">
        <f>SUM(M82:M84)</f>
        <v>17</v>
      </c>
      <c r="N81" s="223">
        <f>SUM(N82:N84)</f>
        <v>17</v>
      </c>
      <c r="O81" s="223">
        <f>SUM(O82:O84)</f>
        <v>0.75500000000000012</v>
      </c>
      <c r="P81" s="223">
        <f>SUM(P82:P84)</f>
        <v>0.73599999999999999</v>
      </c>
      <c r="Q81" s="381">
        <v>0</v>
      </c>
      <c r="R81" s="265">
        <f t="shared" ref="R81:R83" si="53">ROUND(O81/M81/3*1000000,0)</f>
        <v>14804</v>
      </c>
      <c r="S81" s="265">
        <f t="shared" ref="S81:S83" si="54">ROUND(P81/N81/3*1000000,0)</f>
        <v>14431</v>
      </c>
      <c r="T81" s="69"/>
      <c r="U81" s="69"/>
      <c r="V81" s="69"/>
      <c r="W81" s="69"/>
      <c r="X81" s="69"/>
      <c r="Y81" s="69"/>
      <c r="Z81" s="69"/>
      <c r="AA81" s="69"/>
      <c r="AB81" s="69"/>
    </row>
    <row r="82" spans="1:28" x14ac:dyDescent="0.25">
      <c r="A82" s="190" t="s">
        <v>258</v>
      </c>
      <c r="B82" s="191"/>
      <c r="C82" s="191"/>
      <c r="D82" s="192"/>
      <c r="E82" s="202" t="s">
        <v>356</v>
      </c>
      <c r="F82" s="151">
        <v>3.62</v>
      </c>
      <c r="G82" s="151">
        <v>0.98</v>
      </c>
      <c r="H82" s="151">
        <v>0.93100000000000005</v>
      </c>
      <c r="I82" s="151">
        <v>0.95</v>
      </c>
      <c r="J82" s="151">
        <v>0.89500000000000002</v>
      </c>
      <c r="K82" s="250">
        <f t="shared" si="52"/>
        <v>3.0000000000000027E-2</v>
      </c>
      <c r="L82" s="250">
        <f t="shared" ref="L82:L83" si="55">H82-J82</f>
        <v>3.6000000000000032E-2</v>
      </c>
      <c r="M82" s="152">
        <v>1</v>
      </c>
      <c r="N82" s="152">
        <v>1</v>
      </c>
      <c r="O82" s="151">
        <v>0.1</v>
      </c>
      <c r="P82" s="151">
        <v>9.6000000000000002E-2</v>
      </c>
      <c r="Q82" s="381">
        <v>0</v>
      </c>
      <c r="R82" s="265">
        <f t="shared" si="53"/>
        <v>33333</v>
      </c>
      <c r="S82" s="265">
        <f t="shared" si="54"/>
        <v>32000</v>
      </c>
      <c r="T82" s="69"/>
      <c r="U82" s="69"/>
      <c r="V82" s="69"/>
      <c r="W82" s="69"/>
      <c r="X82" s="69"/>
      <c r="Y82" s="69"/>
      <c r="Z82" s="69"/>
      <c r="AA82" s="69"/>
      <c r="AB82" s="69"/>
    </row>
    <row r="83" spans="1:28" x14ac:dyDescent="0.25">
      <c r="A83" s="190" t="s">
        <v>317</v>
      </c>
      <c r="B83" s="191"/>
      <c r="C83" s="191"/>
      <c r="D83" s="192"/>
      <c r="E83" s="103" t="s">
        <v>347</v>
      </c>
      <c r="F83" s="151">
        <v>16.2</v>
      </c>
      <c r="G83" s="151">
        <v>2</v>
      </c>
      <c r="H83" s="151">
        <v>4.0250000000000004</v>
      </c>
      <c r="I83" s="151">
        <v>1.95</v>
      </c>
      <c r="J83" s="151">
        <v>4</v>
      </c>
      <c r="K83" s="250">
        <f t="shared" si="52"/>
        <v>5.0000000000000044E-2</v>
      </c>
      <c r="L83" s="250">
        <f t="shared" si="55"/>
        <v>2.5000000000000355E-2</v>
      </c>
      <c r="M83" s="152">
        <v>5</v>
      </c>
      <c r="N83" s="152">
        <v>5</v>
      </c>
      <c r="O83" s="151">
        <v>0.32</v>
      </c>
      <c r="P83" s="151">
        <v>0.312</v>
      </c>
      <c r="Q83" s="381">
        <v>0</v>
      </c>
      <c r="R83" s="265">
        <f t="shared" si="53"/>
        <v>21333</v>
      </c>
      <c r="S83" s="265">
        <f t="shared" si="54"/>
        <v>20800</v>
      </c>
      <c r="T83" s="69"/>
      <c r="U83" s="69"/>
      <c r="V83" s="69"/>
      <c r="W83" s="69"/>
      <c r="X83" s="69"/>
      <c r="Y83" s="69"/>
      <c r="Z83" s="69"/>
      <c r="AA83" s="69"/>
      <c r="AB83" s="69"/>
    </row>
    <row r="84" spans="1:28" x14ac:dyDescent="0.25">
      <c r="A84" s="101" t="s">
        <v>268</v>
      </c>
      <c r="B84" s="133"/>
      <c r="C84" s="133"/>
      <c r="D84" s="134"/>
      <c r="E84" s="234" t="s">
        <v>352</v>
      </c>
      <c r="F84" s="129">
        <v>40</v>
      </c>
      <c r="G84" s="129">
        <v>3.9</v>
      </c>
      <c r="H84" s="129">
        <v>3.8959999999999999</v>
      </c>
      <c r="I84" s="129">
        <v>3.65</v>
      </c>
      <c r="J84" s="129">
        <v>2.633</v>
      </c>
      <c r="K84" s="250">
        <f t="shared" si="52"/>
        <v>0.25</v>
      </c>
      <c r="L84" s="250">
        <v>0.67900000000000005</v>
      </c>
      <c r="M84" s="71">
        <v>11</v>
      </c>
      <c r="N84" s="71">
        <v>11</v>
      </c>
      <c r="O84" s="129">
        <v>0.33500000000000002</v>
      </c>
      <c r="P84" s="129">
        <v>0.32800000000000001</v>
      </c>
      <c r="Q84" s="371">
        <v>0</v>
      </c>
      <c r="R84" s="265">
        <f t="shared" ref="R84" si="56">ROUND(O84/M84/3*1000000,0)</f>
        <v>10152</v>
      </c>
      <c r="S84" s="265">
        <f t="shared" ref="S84" si="57">ROUND(P84/N84/3*1000000,0)</f>
        <v>9939</v>
      </c>
      <c r="T84" s="69"/>
      <c r="U84" s="69"/>
      <c r="V84" s="69"/>
      <c r="W84" s="69"/>
      <c r="X84" s="69"/>
      <c r="Y84" s="69"/>
      <c r="Z84" s="69"/>
      <c r="AA84" s="69"/>
      <c r="AB84" s="69"/>
    </row>
    <row r="85" spans="1:28" x14ac:dyDescent="0.25">
      <c r="A85" s="218"/>
      <c r="B85" s="219"/>
      <c r="C85" s="219"/>
      <c r="D85" s="220"/>
      <c r="E85" s="205"/>
      <c r="F85" s="213"/>
      <c r="G85" s="215"/>
      <c r="H85" s="215"/>
      <c r="I85" s="213"/>
      <c r="J85" s="213"/>
      <c r="K85" s="213"/>
      <c r="L85" s="213"/>
      <c r="M85" s="216"/>
      <c r="N85" s="216"/>
      <c r="O85" s="213"/>
      <c r="P85" s="213"/>
      <c r="Q85" s="375"/>
      <c r="R85" s="265"/>
      <c r="S85" s="265"/>
      <c r="T85" s="69"/>
      <c r="U85" s="69"/>
      <c r="V85" s="69"/>
      <c r="W85" s="69"/>
      <c r="X85" s="69"/>
      <c r="Y85" s="69"/>
      <c r="Z85" s="69"/>
      <c r="AA85" s="69"/>
      <c r="AB85" s="69"/>
    </row>
    <row r="86" spans="1:28" ht="47.45" customHeight="1" x14ac:dyDescent="0.25">
      <c r="A86" s="422" t="s">
        <v>77</v>
      </c>
      <c r="B86" s="422"/>
      <c r="C86" s="422"/>
      <c r="D86" s="422"/>
      <c r="E86" s="328"/>
      <c r="F86" s="257">
        <f t="shared" ref="F86:Q86" si="58">F87+F90</f>
        <v>80.664000000000001</v>
      </c>
      <c r="G86" s="257">
        <f t="shared" si="58"/>
        <v>25.791</v>
      </c>
      <c r="H86" s="257">
        <f t="shared" si="58"/>
        <v>24.896999999999998</v>
      </c>
      <c r="I86" s="257">
        <f t="shared" si="58"/>
        <v>32.534999999999997</v>
      </c>
      <c r="J86" s="257">
        <f t="shared" si="58"/>
        <v>31.338000000000001</v>
      </c>
      <c r="K86" s="257">
        <f t="shared" si="58"/>
        <v>-6.7439999999999962</v>
      </c>
      <c r="L86" s="257">
        <f t="shared" si="58"/>
        <v>-6.4410000000000025</v>
      </c>
      <c r="M86" s="317">
        <f t="shared" si="58"/>
        <v>48</v>
      </c>
      <c r="N86" s="317">
        <f t="shared" si="58"/>
        <v>48</v>
      </c>
      <c r="O86" s="257">
        <f t="shared" si="58"/>
        <v>8.3559999999999999</v>
      </c>
      <c r="P86" s="257">
        <f t="shared" si="58"/>
        <v>7.95</v>
      </c>
      <c r="Q86" s="382">
        <f t="shared" si="58"/>
        <v>3.3000000000000002E-2</v>
      </c>
      <c r="R86" s="263">
        <f t="shared" ref="R86:R88" si="59">ROUND(O86/M86/3*1000000,0)</f>
        <v>58028</v>
      </c>
      <c r="S86" s="263">
        <f t="shared" ref="S86:S88" si="60">ROUND(P86/N86/3*1000000,0)</f>
        <v>55208</v>
      </c>
      <c r="T86" s="69"/>
      <c r="U86" s="69"/>
      <c r="V86" s="69"/>
      <c r="W86" s="69"/>
      <c r="X86" s="69"/>
      <c r="Y86" s="69"/>
      <c r="Z86" s="69"/>
      <c r="AA86" s="69"/>
      <c r="AB86" s="69"/>
    </row>
    <row r="87" spans="1:28" ht="15.75" customHeight="1" x14ac:dyDescent="0.25">
      <c r="A87" s="221"/>
      <c r="B87" s="429" t="s">
        <v>42</v>
      </c>
      <c r="C87" s="429"/>
      <c r="D87" s="430"/>
      <c r="E87" s="134"/>
      <c r="F87" s="181">
        <f t="shared" ref="F87:L87" si="61">SUM(F88:F88)</f>
        <v>80.664000000000001</v>
      </c>
      <c r="G87" s="181">
        <f t="shared" si="61"/>
        <v>25.791</v>
      </c>
      <c r="H87" s="181">
        <f t="shared" si="61"/>
        <v>24.896999999999998</v>
      </c>
      <c r="I87" s="181">
        <f t="shared" si="61"/>
        <v>32.534999999999997</v>
      </c>
      <c r="J87" s="181">
        <f t="shared" si="61"/>
        <v>31.338000000000001</v>
      </c>
      <c r="K87" s="401">
        <f t="shared" si="61"/>
        <v>-6.7439999999999962</v>
      </c>
      <c r="L87" s="401">
        <f t="shared" si="61"/>
        <v>-6.4410000000000025</v>
      </c>
      <c r="M87" s="229">
        <f>M88</f>
        <v>48</v>
      </c>
      <c r="N87" s="224">
        <f>SUM(N88:N88)</f>
        <v>48</v>
      </c>
      <c r="O87" s="181">
        <f>SUM(O88:O88)</f>
        <v>8.3559999999999999</v>
      </c>
      <c r="P87" s="181">
        <f>SUM(P88:P88)</f>
        <v>7.95</v>
      </c>
      <c r="Q87" s="376">
        <f>SUM(Q88:Q88)</f>
        <v>3.3000000000000002E-2</v>
      </c>
      <c r="R87" s="265">
        <f t="shared" si="59"/>
        <v>58028</v>
      </c>
      <c r="S87" s="265">
        <f t="shared" si="60"/>
        <v>55208</v>
      </c>
      <c r="T87" s="69"/>
      <c r="U87" s="69"/>
      <c r="V87" s="69"/>
      <c r="W87" s="69"/>
      <c r="X87" s="69"/>
      <c r="Y87" s="69"/>
      <c r="Z87" s="69"/>
      <c r="AA87" s="69"/>
      <c r="AB87" s="69"/>
    </row>
    <row r="88" spans="1:28" s="132" customFormat="1" ht="16.5" customHeight="1" x14ac:dyDescent="0.25">
      <c r="A88" s="190" t="s">
        <v>277</v>
      </c>
      <c r="B88" s="191"/>
      <c r="C88" s="191"/>
      <c r="D88" s="192"/>
      <c r="E88" s="103" t="s">
        <v>347</v>
      </c>
      <c r="F88" s="176">
        <v>80.664000000000001</v>
      </c>
      <c r="G88" s="272">
        <v>25.791</v>
      </c>
      <c r="H88" s="272">
        <v>24.896999999999998</v>
      </c>
      <c r="I88" s="176">
        <v>32.534999999999997</v>
      </c>
      <c r="J88" s="176">
        <v>31.338000000000001</v>
      </c>
      <c r="K88" s="400">
        <f t="shared" ref="K88" si="62">G88-I88</f>
        <v>-6.7439999999999962</v>
      </c>
      <c r="L88" s="400">
        <f t="shared" ref="L88" si="63">H88-J88</f>
        <v>-6.4410000000000025</v>
      </c>
      <c r="M88" s="273">
        <v>48</v>
      </c>
      <c r="N88" s="273">
        <v>48</v>
      </c>
      <c r="O88" s="178">
        <v>8.3559999999999999</v>
      </c>
      <c r="P88" s="178">
        <v>7.95</v>
      </c>
      <c r="Q88" s="378">
        <v>3.3000000000000002E-2</v>
      </c>
      <c r="R88" s="265">
        <f t="shared" si="59"/>
        <v>58028</v>
      </c>
      <c r="S88" s="265">
        <f t="shared" si="60"/>
        <v>55208</v>
      </c>
      <c r="T88" s="131"/>
      <c r="U88" s="131"/>
      <c r="V88" s="131"/>
      <c r="W88" s="131"/>
      <c r="X88" s="131"/>
      <c r="Y88" s="131"/>
      <c r="Z88" s="131"/>
      <c r="AA88" s="131"/>
      <c r="AB88" s="131"/>
    </row>
    <row r="89" spans="1:28" s="132" customFormat="1" x14ac:dyDescent="0.25">
      <c r="A89" s="190"/>
      <c r="B89" s="191"/>
      <c r="C89" s="191"/>
      <c r="D89" s="192"/>
      <c r="E89" s="192"/>
      <c r="F89" s="176"/>
      <c r="G89" s="176"/>
      <c r="H89" s="176"/>
      <c r="I89" s="176"/>
      <c r="J89" s="176"/>
      <c r="K89" s="176"/>
      <c r="L89" s="176"/>
      <c r="M89" s="177"/>
      <c r="N89" s="177"/>
      <c r="O89" s="178"/>
      <c r="P89" s="178"/>
      <c r="Q89" s="378"/>
      <c r="R89" s="265"/>
      <c r="S89" s="265"/>
      <c r="T89" s="131"/>
      <c r="U89" s="131"/>
      <c r="V89" s="131"/>
      <c r="W89" s="131"/>
      <c r="X89" s="131"/>
      <c r="Y89" s="131"/>
      <c r="Z89" s="131"/>
      <c r="AA89" s="131"/>
      <c r="AB89" s="131"/>
    </row>
    <row r="90" spans="1:28" s="132" customFormat="1" ht="15.75" customHeight="1" x14ac:dyDescent="0.25">
      <c r="A90" s="203"/>
      <c r="B90" s="429" t="s">
        <v>264</v>
      </c>
      <c r="C90" s="429"/>
      <c r="D90" s="430"/>
      <c r="E90" s="134"/>
      <c r="F90" s="176"/>
      <c r="G90" s="176"/>
      <c r="H90" s="176"/>
      <c r="I90" s="176"/>
      <c r="J90" s="176"/>
      <c r="K90" s="176"/>
      <c r="L90" s="176"/>
      <c r="M90" s="177"/>
      <c r="N90" s="177"/>
      <c r="O90" s="178"/>
      <c r="P90" s="178"/>
      <c r="Q90" s="378"/>
      <c r="R90" s="265"/>
      <c r="S90" s="265"/>
      <c r="T90" s="131"/>
      <c r="U90" s="131"/>
      <c r="V90" s="131"/>
      <c r="W90" s="131"/>
      <c r="X90" s="131"/>
      <c r="Y90" s="131"/>
      <c r="Z90" s="131"/>
      <c r="AA90" s="131"/>
      <c r="AB90" s="131"/>
    </row>
    <row r="91" spans="1:28" s="132" customFormat="1" ht="15.75" customHeight="1" x14ac:dyDescent="0.25">
      <c r="A91" s="203"/>
      <c r="B91" s="233"/>
      <c r="C91" s="233"/>
      <c r="D91" s="234"/>
      <c r="E91" s="234"/>
      <c r="F91" s="176"/>
      <c r="G91" s="176"/>
      <c r="H91" s="176"/>
      <c r="I91" s="176"/>
      <c r="J91" s="176"/>
      <c r="K91" s="176"/>
      <c r="L91" s="176"/>
      <c r="M91" s="177"/>
      <c r="N91" s="177"/>
      <c r="O91" s="178"/>
      <c r="P91" s="178"/>
      <c r="Q91" s="378"/>
      <c r="R91" s="265"/>
      <c r="S91" s="265"/>
      <c r="T91" s="131"/>
      <c r="U91" s="131"/>
      <c r="V91" s="131"/>
      <c r="W91" s="131"/>
      <c r="X91" s="131"/>
      <c r="Y91" s="131"/>
      <c r="Z91" s="131"/>
      <c r="AA91" s="131"/>
      <c r="AB91" s="131"/>
    </row>
    <row r="92" spans="1:28" s="132" customFormat="1" ht="64.5" customHeight="1" x14ac:dyDescent="0.25">
      <c r="A92" s="422" t="s">
        <v>275</v>
      </c>
      <c r="B92" s="422"/>
      <c r="C92" s="422"/>
      <c r="D92" s="422"/>
      <c r="E92" s="328"/>
      <c r="F92" s="257">
        <f>F93+F96</f>
        <v>21.87</v>
      </c>
      <c r="G92" s="257">
        <f t="shared" ref="G92:Q92" si="64">G93+G97</f>
        <v>1.698</v>
      </c>
      <c r="H92" s="257">
        <f t="shared" si="64"/>
        <v>1.389</v>
      </c>
      <c r="I92" s="257">
        <f t="shared" si="64"/>
        <v>2.31</v>
      </c>
      <c r="J92" s="257">
        <f t="shared" si="64"/>
        <v>2.3039999999999998</v>
      </c>
      <c r="K92" s="257">
        <f t="shared" si="64"/>
        <v>-0.6120000000000001</v>
      </c>
      <c r="L92" s="257">
        <f t="shared" si="64"/>
        <v>-0.91499999999999981</v>
      </c>
      <c r="M92" s="258">
        <f t="shared" si="64"/>
        <v>21</v>
      </c>
      <c r="N92" s="317">
        <f t="shared" si="64"/>
        <v>20</v>
      </c>
      <c r="O92" s="257">
        <f t="shared" si="64"/>
        <v>3.54</v>
      </c>
      <c r="P92" s="257">
        <f t="shared" si="64"/>
        <v>3.1960000000000002</v>
      </c>
      <c r="Q92" s="382">
        <f t="shared" si="64"/>
        <v>0</v>
      </c>
      <c r="R92" s="263">
        <f t="shared" ref="R92:R94" si="65">ROUND(O92/M92/3*1000000,0)</f>
        <v>56190</v>
      </c>
      <c r="S92" s="263">
        <f t="shared" ref="S92:S94" si="66">ROUND(P92/N92/3*1000000,0)</f>
        <v>53267</v>
      </c>
      <c r="T92" s="131"/>
      <c r="U92" s="131"/>
      <c r="V92" s="131"/>
      <c r="W92" s="131"/>
      <c r="X92" s="131"/>
      <c r="Y92" s="131"/>
      <c r="Z92" s="131"/>
      <c r="AA92" s="131"/>
      <c r="AB92" s="131"/>
    </row>
    <row r="93" spans="1:28" s="132" customFormat="1" ht="15.75" customHeight="1" x14ac:dyDescent="0.25">
      <c r="A93" s="221"/>
      <c r="B93" s="429" t="s">
        <v>42</v>
      </c>
      <c r="C93" s="429"/>
      <c r="D93" s="430"/>
      <c r="E93" s="134"/>
      <c r="F93" s="181">
        <f t="shared" ref="F93:L93" si="67">SUM(F94:F94)</f>
        <v>21.87</v>
      </c>
      <c r="G93" s="181">
        <f t="shared" si="67"/>
        <v>1.698</v>
      </c>
      <c r="H93" s="181">
        <f t="shared" si="67"/>
        <v>1.389</v>
      </c>
      <c r="I93" s="181">
        <f t="shared" si="67"/>
        <v>2.31</v>
      </c>
      <c r="J93" s="181">
        <f t="shared" si="67"/>
        <v>2.3039999999999998</v>
      </c>
      <c r="K93" s="401">
        <f t="shared" si="67"/>
        <v>-0.6120000000000001</v>
      </c>
      <c r="L93" s="401">
        <f t="shared" si="67"/>
        <v>-0.91499999999999981</v>
      </c>
      <c r="M93" s="229">
        <f>M94</f>
        <v>21</v>
      </c>
      <c r="N93" s="224">
        <f>SUM(N94:N94)</f>
        <v>20</v>
      </c>
      <c r="O93" s="181">
        <f>SUM(O94:O94)</f>
        <v>3.54</v>
      </c>
      <c r="P93" s="181">
        <f>SUM(P94:P94)</f>
        <v>3.1960000000000002</v>
      </c>
      <c r="Q93" s="378">
        <v>0</v>
      </c>
      <c r="R93" s="265">
        <f t="shared" si="65"/>
        <v>56190</v>
      </c>
      <c r="S93" s="265">
        <f t="shared" si="66"/>
        <v>53267</v>
      </c>
      <c r="T93" s="131"/>
      <c r="U93" s="131"/>
      <c r="V93" s="131"/>
      <c r="W93" s="131"/>
      <c r="X93" s="131"/>
      <c r="Y93" s="131"/>
      <c r="Z93" s="131"/>
      <c r="AA93" s="131"/>
      <c r="AB93" s="131"/>
    </row>
    <row r="94" spans="1:28" s="132" customFormat="1" ht="15.75" customHeight="1" x14ac:dyDescent="0.25">
      <c r="A94" s="190" t="s">
        <v>277</v>
      </c>
      <c r="B94" s="233"/>
      <c r="C94" s="233"/>
      <c r="D94" s="234"/>
      <c r="E94" s="103" t="s">
        <v>347</v>
      </c>
      <c r="F94" s="176">
        <v>21.87</v>
      </c>
      <c r="G94" s="272">
        <v>1.698</v>
      </c>
      <c r="H94" s="272">
        <v>1.389</v>
      </c>
      <c r="I94" s="176">
        <v>2.31</v>
      </c>
      <c r="J94" s="176">
        <v>2.3039999999999998</v>
      </c>
      <c r="K94" s="400">
        <f t="shared" ref="K94" si="68">G94-I94</f>
        <v>-0.6120000000000001</v>
      </c>
      <c r="L94" s="400">
        <f t="shared" ref="L94" si="69">H94-J94</f>
        <v>-0.91499999999999981</v>
      </c>
      <c r="M94" s="273">
        <v>21</v>
      </c>
      <c r="N94" s="273">
        <v>20</v>
      </c>
      <c r="O94" s="178">
        <v>3.54</v>
      </c>
      <c r="P94" s="178">
        <v>3.1960000000000002</v>
      </c>
      <c r="Q94" s="378">
        <v>0</v>
      </c>
      <c r="R94" s="265">
        <f t="shared" si="65"/>
        <v>56190</v>
      </c>
      <c r="S94" s="265">
        <f t="shared" si="66"/>
        <v>53267</v>
      </c>
      <c r="T94" s="131"/>
      <c r="U94" s="131"/>
      <c r="V94" s="131"/>
      <c r="W94" s="131"/>
      <c r="X94" s="131"/>
      <c r="Y94" s="131"/>
      <c r="Z94" s="131"/>
      <c r="AA94" s="131"/>
      <c r="AB94" s="131"/>
    </row>
    <row r="95" spans="1:28" s="132" customFormat="1" ht="15.75" customHeight="1" x14ac:dyDescent="0.25">
      <c r="A95" s="190"/>
      <c r="B95" s="233"/>
      <c r="C95" s="233"/>
      <c r="D95" s="234"/>
      <c r="E95" s="234"/>
      <c r="F95" s="176"/>
      <c r="G95" s="176"/>
      <c r="H95" s="176"/>
      <c r="I95" s="176"/>
      <c r="J95" s="176"/>
      <c r="K95" s="176"/>
      <c r="L95" s="176"/>
      <c r="M95" s="177"/>
      <c r="N95" s="177"/>
      <c r="O95" s="178"/>
      <c r="P95" s="178"/>
      <c r="Q95" s="378"/>
      <c r="R95" s="265"/>
      <c r="S95" s="265"/>
      <c r="T95" s="131"/>
      <c r="U95" s="131"/>
      <c r="V95" s="131"/>
      <c r="W95" s="131"/>
      <c r="X95" s="131"/>
      <c r="Y95" s="131"/>
      <c r="Z95" s="131"/>
      <c r="AA95" s="131"/>
      <c r="AB95" s="131"/>
    </row>
    <row r="96" spans="1:28" s="132" customFormat="1" ht="15.75" customHeight="1" x14ac:dyDescent="0.25">
      <c r="A96" s="203"/>
      <c r="B96" s="429" t="s">
        <v>264</v>
      </c>
      <c r="C96" s="429"/>
      <c r="D96" s="430"/>
      <c r="E96" s="134"/>
      <c r="F96" s="176"/>
      <c r="G96" s="176"/>
      <c r="H96" s="176"/>
      <c r="I96" s="176"/>
      <c r="J96" s="176"/>
      <c r="K96" s="176"/>
      <c r="L96" s="176"/>
      <c r="M96" s="177"/>
      <c r="N96" s="177"/>
      <c r="O96" s="178"/>
      <c r="P96" s="178"/>
      <c r="Q96" s="378"/>
      <c r="R96" s="265"/>
      <c r="S96" s="265"/>
      <c r="T96" s="131"/>
      <c r="U96" s="131"/>
      <c r="V96" s="131"/>
      <c r="W96" s="131"/>
      <c r="X96" s="131"/>
      <c r="Y96" s="131"/>
      <c r="Z96" s="131"/>
      <c r="AA96" s="131"/>
      <c r="AB96" s="131"/>
    </row>
    <row r="97" spans="1:28" x14ac:dyDescent="0.25">
      <c r="A97" s="100"/>
      <c r="B97" s="104"/>
      <c r="C97" s="104"/>
      <c r="D97" s="105"/>
      <c r="E97" s="105"/>
      <c r="F97" s="176">
        <v>0</v>
      </c>
      <c r="G97" s="176">
        <v>0</v>
      </c>
      <c r="H97" s="176"/>
      <c r="I97" s="176">
        <v>0</v>
      </c>
      <c r="J97" s="176"/>
      <c r="K97" s="176">
        <v>0</v>
      </c>
      <c r="L97" s="176"/>
      <c r="M97" s="177">
        <v>0</v>
      </c>
      <c r="N97" s="177"/>
      <c r="O97" s="178">
        <v>0</v>
      </c>
      <c r="P97" s="178"/>
      <c r="Q97" s="378">
        <v>0</v>
      </c>
      <c r="R97" s="265"/>
      <c r="S97" s="265"/>
      <c r="T97" s="69"/>
      <c r="U97" s="69"/>
      <c r="V97" s="69"/>
      <c r="W97" s="69"/>
      <c r="X97" s="69"/>
      <c r="Y97" s="69"/>
      <c r="Z97" s="69"/>
      <c r="AA97" s="69"/>
      <c r="AB97" s="69"/>
    </row>
    <row r="98" spans="1:28" ht="50.25" customHeight="1" x14ac:dyDescent="0.25">
      <c r="A98" s="440" t="s">
        <v>173</v>
      </c>
      <c r="B98" s="441"/>
      <c r="C98" s="441"/>
      <c r="D98" s="442"/>
      <c r="E98" s="332"/>
      <c r="F98" s="259">
        <f t="shared" ref="F98:Q98" si="70">F99+F110</f>
        <v>2149.826</v>
      </c>
      <c r="G98" s="259">
        <f t="shared" si="70"/>
        <v>512.62900000000002</v>
      </c>
      <c r="H98" s="259">
        <f t="shared" si="70"/>
        <v>514.30399999999997</v>
      </c>
      <c r="I98" s="259">
        <f t="shared" si="70"/>
        <v>502.41499999999996</v>
      </c>
      <c r="J98" s="259">
        <f t="shared" si="70"/>
        <v>503.01620000000003</v>
      </c>
      <c r="K98" s="259">
        <f t="shared" si="70"/>
        <v>10.214000000000022</v>
      </c>
      <c r="L98" s="259">
        <f t="shared" si="70"/>
        <v>9.1157999999999824</v>
      </c>
      <c r="M98" s="260">
        <f t="shared" si="70"/>
        <v>287</v>
      </c>
      <c r="N98" s="260">
        <f t="shared" si="70"/>
        <v>288</v>
      </c>
      <c r="O98" s="259">
        <f t="shared" si="70"/>
        <v>22.516999999999999</v>
      </c>
      <c r="P98" s="259">
        <f t="shared" si="70"/>
        <v>21.459</v>
      </c>
      <c r="Q98" s="383">
        <f t="shared" si="70"/>
        <v>0</v>
      </c>
      <c r="R98" s="263">
        <f t="shared" ref="R98" si="71">ROUND(O98/M98/3*1000000,0)</f>
        <v>26152</v>
      </c>
      <c r="S98" s="263">
        <f t="shared" ref="S98" si="72">ROUND(P98/N98/3*1000000,0)</f>
        <v>24837</v>
      </c>
      <c r="T98" s="69"/>
      <c r="U98" s="69"/>
      <c r="V98" s="69"/>
      <c r="W98" s="69"/>
      <c r="X98" s="69"/>
      <c r="Y98" s="69"/>
      <c r="Z98" s="69"/>
      <c r="AA98" s="69"/>
      <c r="AB98" s="69"/>
    </row>
    <row r="99" spans="1:28" ht="18.75" customHeight="1" x14ac:dyDescent="0.25">
      <c r="A99" s="100"/>
      <c r="B99" s="429" t="s">
        <v>42</v>
      </c>
      <c r="C99" s="429"/>
      <c r="D99" s="430"/>
      <c r="E99" s="134"/>
      <c r="F99" s="176">
        <f t="shared" ref="F99:Q99" si="73">SUM(F100:F108)</f>
        <v>437.0259999999999</v>
      </c>
      <c r="G99" s="176">
        <f t="shared" si="73"/>
        <v>119.879</v>
      </c>
      <c r="H99" s="176">
        <f t="shared" si="73"/>
        <v>115.88199999999999</v>
      </c>
      <c r="I99" s="176">
        <f t="shared" si="73"/>
        <v>113.89500000000001</v>
      </c>
      <c r="J99" s="176">
        <f t="shared" si="73"/>
        <v>109.246</v>
      </c>
      <c r="K99" s="176">
        <f t="shared" si="73"/>
        <v>5.9840000000000035</v>
      </c>
      <c r="L99" s="176">
        <f t="shared" si="73"/>
        <v>4.4640000000000013</v>
      </c>
      <c r="M99" s="223">
        <f t="shared" si="73"/>
        <v>138</v>
      </c>
      <c r="N99" s="223">
        <f t="shared" si="73"/>
        <v>140</v>
      </c>
      <c r="O99" s="176">
        <f t="shared" si="73"/>
        <v>12.908999999999999</v>
      </c>
      <c r="P99" s="176">
        <f t="shared" si="73"/>
        <v>12.436</v>
      </c>
      <c r="Q99" s="378">
        <f t="shared" si="73"/>
        <v>0</v>
      </c>
      <c r="R99" s="265">
        <f t="shared" ref="R99" si="74">ROUND(O99/M99/3*1000000,0)</f>
        <v>31181</v>
      </c>
      <c r="S99" s="265">
        <f t="shared" ref="S99" si="75">ROUND(P99/N99/3*1000000,0)</f>
        <v>29610</v>
      </c>
      <c r="T99" s="69"/>
      <c r="U99" s="69"/>
      <c r="V99" s="69"/>
      <c r="W99" s="69"/>
      <c r="X99" s="69"/>
      <c r="Y99" s="69"/>
      <c r="Z99" s="69"/>
      <c r="AA99" s="69"/>
      <c r="AB99" s="69"/>
    </row>
    <row r="100" spans="1:28" s="132" customFormat="1" ht="19.5" customHeight="1" x14ac:dyDescent="0.25">
      <c r="A100" s="190" t="s">
        <v>214</v>
      </c>
      <c r="B100" s="191"/>
      <c r="C100" s="191"/>
      <c r="D100" s="192"/>
      <c r="E100" s="103" t="s">
        <v>347</v>
      </c>
      <c r="F100" s="176">
        <v>141.1</v>
      </c>
      <c r="G100" s="176">
        <v>34.200000000000003</v>
      </c>
      <c r="H100" s="176">
        <v>34.125</v>
      </c>
      <c r="I100" s="176">
        <v>33.799999999999997</v>
      </c>
      <c r="J100" s="176">
        <v>33.72</v>
      </c>
      <c r="K100" s="235">
        <f>G100-I100</f>
        <v>0.40000000000000568</v>
      </c>
      <c r="L100" s="235">
        <f>H100-J100</f>
        <v>0.40500000000000114</v>
      </c>
      <c r="M100" s="177">
        <v>61</v>
      </c>
      <c r="N100" s="177">
        <v>61</v>
      </c>
      <c r="O100" s="176">
        <v>4.55</v>
      </c>
      <c r="P100" s="176">
        <v>4.5419999999999998</v>
      </c>
      <c r="Q100" s="378">
        <v>0</v>
      </c>
      <c r="R100" s="265">
        <f t="shared" ref="R100" si="76">ROUND(O100/M100/3*1000000,0)</f>
        <v>24863</v>
      </c>
      <c r="S100" s="265">
        <f t="shared" ref="S100" si="77">ROUND(P100/N100/3*1000000,0)</f>
        <v>24820</v>
      </c>
      <c r="T100" s="131"/>
      <c r="U100" s="131"/>
      <c r="V100" s="131"/>
      <c r="W100" s="131"/>
      <c r="X100" s="131" t="s">
        <v>251</v>
      </c>
      <c r="Y100" s="131"/>
      <c r="Z100" s="131"/>
      <c r="AA100" s="131"/>
      <c r="AB100" s="131"/>
    </row>
    <row r="101" spans="1:28" s="132" customFormat="1" ht="19.5" customHeight="1" x14ac:dyDescent="0.25">
      <c r="A101" s="101" t="s">
        <v>319</v>
      </c>
      <c r="B101" s="133"/>
      <c r="C101" s="133"/>
      <c r="D101" s="134"/>
      <c r="E101" s="103" t="s">
        <v>347</v>
      </c>
      <c r="F101" s="235">
        <v>50.768999999999998</v>
      </c>
      <c r="G101" s="235">
        <v>18.728999999999999</v>
      </c>
      <c r="H101" s="235">
        <v>18.658000000000001</v>
      </c>
      <c r="I101" s="235">
        <v>18.535</v>
      </c>
      <c r="J101" s="235">
        <v>18.422999999999998</v>
      </c>
      <c r="K101" s="250">
        <f t="shared" ref="K101:L103" si="78">G101-I101</f>
        <v>0.19399999999999906</v>
      </c>
      <c r="L101" s="235">
        <v>0.23499999999999999</v>
      </c>
      <c r="M101" s="323">
        <v>13</v>
      </c>
      <c r="N101" s="323">
        <v>14</v>
      </c>
      <c r="O101" s="235">
        <v>3.089</v>
      </c>
      <c r="P101" s="235">
        <v>2.9430000000000001</v>
      </c>
      <c r="Q101" s="372">
        <v>0</v>
      </c>
      <c r="R101" s="265">
        <f t="shared" ref="R101:R108" si="79">ROUND(O101/M101/3*1000000,0)</f>
        <v>79205</v>
      </c>
      <c r="S101" s="265">
        <f t="shared" ref="S101:S108" si="80">ROUND(P101/N101/3*1000000,0)</f>
        <v>70071</v>
      </c>
      <c r="T101" s="131"/>
      <c r="U101" s="131"/>
      <c r="V101" s="131"/>
      <c r="W101" s="131"/>
      <c r="X101" s="131"/>
      <c r="Y101" s="131"/>
      <c r="Z101" s="131"/>
      <c r="AA101" s="131"/>
      <c r="AB101" s="131"/>
    </row>
    <row r="102" spans="1:28" s="132" customFormat="1" ht="18.75" customHeight="1" x14ac:dyDescent="0.25">
      <c r="A102" s="190" t="s">
        <v>215</v>
      </c>
      <c r="B102" s="191"/>
      <c r="C102" s="191"/>
      <c r="D102" s="192"/>
      <c r="E102" s="103" t="s">
        <v>347</v>
      </c>
      <c r="F102" s="176">
        <v>69.838999999999999</v>
      </c>
      <c r="G102" s="176">
        <v>17.12</v>
      </c>
      <c r="H102" s="176">
        <v>17.05</v>
      </c>
      <c r="I102" s="176">
        <v>14.5</v>
      </c>
      <c r="J102" s="176">
        <v>14.37</v>
      </c>
      <c r="K102" s="250">
        <f t="shared" si="78"/>
        <v>2.620000000000001</v>
      </c>
      <c r="L102" s="250">
        <f t="shared" si="78"/>
        <v>2.6800000000000015</v>
      </c>
      <c r="M102" s="177">
        <v>46</v>
      </c>
      <c r="N102" s="177">
        <v>46</v>
      </c>
      <c r="O102" s="178">
        <v>3.82</v>
      </c>
      <c r="P102" s="178">
        <v>3.7309999999999999</v>
      </c>
      <c r="Q102" s="378">
        <v>0</v>
      </c>
      <c r="R102" s="265">
        <f t="shared" si="79"/>
        <v>27681</v>
      </c>
      <c r="S102" s="265">
        <f t="shared" si="80"/>
        <v>27036</v>
      </c>
      <c r="T102" s="131"/>
      <c r="U102" s="131"/>
      <c r="V102" s="131"/>
      <c r="W102" s="131"/>
      <c r="X102" s="131"/>
      <c r="Y102" s="131"/>
      <c r="Z102" s="131"/>
      <c r="AA102" s="131"/>
      <c r="AB102" s="131"/>
    </row>
    <row r="103" spans="1:28" s="132" customFormat="1" ht="19.5" customHeight="1" x14ac:dyDescent="0.25">
      <c r="A103" s="190" t="s">
        <v>259</v>
      </c>
      <c r="B103" s="191"/>
      <c r="C103" s="191"/>
      <c r="D103" s="192"/>
      <c r="E103" s="103" t="s">
        <v>347</v>
      </c>
      <c r="F103" s="176">
        <v>120.12</v>
      </c>
      <c r="G103" s="176">
        <v>30.12</v>
      </c>
      <c r="H103" s="176">
        <v>30.85</v>
      </c>
      <c r="I103" s="176">
        <v>29.85</v>
      </c>
      <c r="J103" s="176">
        <v>30.42</v>
      </c>
      <c r="K103" s="250">
        <f t="shared" si="78"/>
        <v>0.26999999999999957</v>
      </c>
      <c r="L103" s="250">
        <f t="shared" ref="L103" si="81">H103-J103</f>
        <v>0.42999999999999972</v>
      </c>
      <c r="M103" s="177">
        <v>6</v>
      </c>
      <c r="N103" s="177">
        <v>6</v>
      </c>
      <c r="O103" s="176">
        <v>0.6</v>
      </c>
      <c r="P103" s="176">
        <v>0.56499999999999995</v>
      </c>
      <c r="Q103" s="378">
        <v>0</v>
      </c>
      <c r="R103" s="265">
        <f t="shared" si="79"/>
        <v>33333</v>
      </c>
      <c r="S103" s="265">
        <f t="shared" si="80"/>
        <v>31389</v>
      </c>
      <c r="T103" s="131"/>
      <c r="U103" s="131"/>
      <c r="V103" s="131"/>
      <c r="W103" s="131"/>
      <c r="X103" s="131"/>
      <c r="Y103" s="131"/>
      <c r="Z103" s="131"/>
      <c r="AA103" s="131"/>
      <c r="AB103" s="131"/>
    </row>
    <row r="104" spans="1:28" s="132" customFormat="1" ht="18" customHeight="1" x14ac:dyDescent="0.25">
      <c r="A104" s="190" t="s">
        <v>236</v>
      </c>
      <c r="B104" s="191"/>
      <c r="C104" s="191"/>
      <c r="D104" s="192"/>
      <c r="E104" s="192" t="s">
        <v>350</v>
      </c>
      <c r="F104" s="176">
        <v>22.15</v>
      </c>
      <c r="G104" s="176">
        <v>5.8</v>
      </c>
      <c r="H104" s="176">
        <v>5.8259999999999996</v>
      </c>
      <c r="I104" s="176">
        <v>5.51</v>
      </c>
      <c r="J104" s="176">
        <v>5.53</v>
      </c>
      <c r="K104" s="250">
        <f t="shared" ref="K104:K108" si="82">G104-I104</f>
        <v>0.29000000000000004</v>
      </c>
      <c r="L104" s="250">
        <f t="shared" ref="L104:L106" si="83">H104-J104</f>
        <v>0.29599999999999937</v>
      </c>
      <c r="M104" s="177">
        <v>5</v>
      </c>
      <c r="N104" s="177">
        <v>5</v>
      </c>
      <c r="O104" s="178">
        <v>0.28000000000000003</v>
      </c>
      <c r="P104" s="178">
        <v>0.26600000000000001</v>
      </c>
      <c r="Q104" s="378">
        <v>0</v>
      </c>
      <c r="R104" s="265">
        <f t="shared" si="79"/>
        <v>18667</v>
      </c>
      <c r="S104" s="265">
        <f t="shared" si="80"/>
        <v>17733</v>
      </c>
      <c r="T104" s="131"/>
      <c r="U104" s="131"/>
      <c r="V104" s="131"/>
      <c r="W104" s="131"/>
      <c r="X104" s="131"/>
      <c r="Y104" s="131"/>
      <c r="Z104" s="131"/>
      <c r="AA104" s="131"/>
      <c r="AB104" s="131"/>
    </row>
    <row r="105" spans="1:28" s="132" customFormat="1" ht="21" customHeight="1" x14ac:dyDescent="0.25">
      <c r="A105" s="190" t="s">
        <v>237</v>
      </c>
      <c r="B105" s="191"/>
      <c r="C105" s="191"/>
      <c r="D105" s="192"/>
      <c r="E105" s="103" t="s">
        <v>347</v>
      </c>
      <c r="F105" s="176">
        <v>1.52</v>
      </c>
      <c r="G105" s="176">
        <v>0.3</v>
      </c>
      <c r="H105" s="176">
        <v>0.32</v>
      </c>
      <c r="I105" s="176">
        <v>0.27</v>
      </c>
      <c r="J105" s="176">
        <v>0.3</v>
      </c>
      <c r="K105" s="250">
        <f t="shared" si="82"/>
        <v>2.9999999999999971E-2</v>
      </c>
      <c r="L105" s="250">
        <f t="shared" si="83"/>
        <v>2.0000000000000018E-2</v>
      </c>
      <c r="M105" s="177">
        <v>2</v>
      </c>
      <c r="N105" s="177">
        <v>2</v>
      </c>
      <c r="O105" s="178">
        <v>0.11</v>
      </c>
      <c r="P105" s="178">
        <v>0.10199999999999999</v>
      </c>
      <c r="Q105" s="378">
        <v>0</v>
      </c>
      <c r="R105" s="265">
        <f t="shared" si="79"/>
        <v>18333</v>
      </c>
      <c r="S105" s="265">
        <f t="shared" si="80"/>
        <v>17000</v>
      </c>
      <c r="T105" s="131"/>
      <c r="U105" s="131"/>
      <c r="V105" s="131"/>
      <c r="W105" s="131"/>
      <c r="X105" s="131"/>
      <c r="Y105" s="131"/>
      <c r="Z105" s="131"/>
      <c r="AA105" s="131"/>
      <c r="AB105" s="131"/>
    </row>
    <row r="106" spans="1:28" s="132" customFormat="1" ht="18.75" customHeight="1" x14ac:dyDescent="0.25">
      <c r="A106" s="190" t="s">
        <v>280</v>
      </c>
      <c r="B106" s="201"/>
      <c r="C106" s="201"/>
      <c r="D106" s="202"/>
      <c r="E106" s="103" t="s">
        <v>347</v>
      </c>
      <c r="F106" s="176">
        <v>17.2</v>
      </c>
      <c r="G106" s="176">
        <v>4.0999999999999996</v>
      </c>
      <c r="H106" s="176">
        <v>4.12</v>
      </c>
      <c r="I106" s="176">
        <v>4.04</v>
      </c>
      <c r="J106" s="176">
        <v>4.03</v>
      </c>
      <c r="K106" s="250">
        <f t="shared" si="82"/>
        <v>5.9999999999999609E-2</v>
      </c>
      <c r="L106" s="250">
        <f t="shared" si="83"/>
        <v>8.9999999999999858E-2</v>
      </c>
      <c r="M106" s="177">
        <v>2</v>
      </c>
      <c r="N106" s="177">
        <v>2</v>
      </c>
      <c r="O106" s="178">
        <v>0.18</v>
      </c>
      <c r="P106" s="178">
        <v>0.17499999999999999</v>
      </c>
      <c r="Q106" s="378">
        <v>0</v>
      </c>
      <c r="R106" s="265">
        <f t="shared" si="79"/>
        <v>30000</v>
      </c>
      <c r="S106" s="265">
        <f t="shared" si="80"/>
        <v>29167</v>
      </c>
      <c r="T106" s="131"/>
      <c r="U106" s="131"/>
      <c r="V106" s="131"/>
      <c r="W106" s="131"/>
      <c r="X106" s="131"/>
      <c r="Y106" s="131"/>
      <c r="Z106" s="131"/>
      <c r="AA106" s="131"/>
      <c r="AB106" s="131"/>
    </row>
    <row r="107" spans="1:28" s="132" customFormat="1" ht="20.25" customHeight="1" x14ac:dyDescent="0.25">
      <c r="A107" s="101" t="s">
        <v>288</v>
      </c>
      <c r="B107" s="233"/>
      <c r="C107" s="233"/>
      <c r="D107" s="234"/>
      <c r="E107" s="234" t="s">
        <v>352</v>
      </c>
      <c r="F107" s="235">
        <v>8.5</v>
      </c>
      <c r="G107" s="235">
        <v>8.5</v>
      </c>
      <c r="H107" s="235">
        <v>3.89</v>
      </c>
      <c r="I107" s="235">
        <v>6.4</v>
      </c>
      <c r="J107" s="235">
        <v>1.758</v>
      </c>
      <c r="K107" s="250">
        <f t="shared" si="82"/>
        <v>2.0999999999999996</v>
      </c>
      <c r="L107" s="250">
        <v>0.29099999999999998</v>
      </c>
      <c r="M107" s="319">
        <v>1</v>
      </c>
      <c r="N107" s="319">
        <v>2</v>
      </c>
      <c r="O107" s="250">
        <v>0.22</v>
      </c>
      <c r="P107" s="250">
        <v>5.8999999999999997E-2</v>
      </c>
      <c r="Q107" s="372">
        <v>0</v>
      </c>
      <c r="R107" s="265">
        <f t="shared" si="79"/>
        <v>73333</v>
      </c>
      <c r="S107" s="265">
        <f t="shared" si="80"/>
        <v>9833</v>
      </c>
      <c r="T107" s="131"/>
      <c r="U107" s="131"/>
      <c r="V107" s="131"/>
      <c r="W107" s="131"/>
      <c r="X107" s="131"/>
      <c r="Y107" s="131"/>
      <c r="Z107" s="131"/>
      <c r="AA107" s="131"/>
      <c r="AB107" s="131"/>
    </row>
    <row r="108" spans="1:28" s="132" customFormat="1" ht="18.75" customHeight="1" x14ac:dyDescent="0.25">
      <c r="A108" s="101" t="s">
        <v>274</v>
      </c>
      <c r="B108" s="233"/>
      <c r="C108" s="233"/>
      <c r="D108" s="234"/>
      <c r="E108" s="234"/>
      <c r="F108" s="235">
        <v>5.8280000000000003</v>
      </c>
      <c r="G108" s="235">
        <v>1.01</v>
      </c>
      <c r="H108" s="235">
        <v>1.0429999999999999</v>
      </c>
      <c r="I108" s="235">
        <v>0.99</v>
      </c>
      <c r="J108" s="235">
        <v>0.69499999999999995</v>
      </c>
      <c r="K108" s="250">
        <f t="shared" si="82"/>
        <v>2.0000000000000018E-2</v>
      </c>
      <c r="L108" s="250">
        <v>1.7000000000000001E-2</v>
      </c>
      <c r="M108" s="319">
        <v>2</v>
      </c>
      <c r="N108" s="319">
        <v>2</v>
      </c>
      <c r="O108" s="250">
        <v>0.06</v>
      </c>
      <c r="P108" s="250">
        <v>5.2999999999999999E-2</v>
      </c>
      <c r="Q108" s="372">
        <v>0</v>
      </c>
      <c r="R108" s="265">
        <f t="shared" si="79"/>
        <v>10000</v>
      </c>
      <c r="S108" s="265">
        <f t="shared" si="80"/>
        <v>8833</v>
      </c>
      <c r="T108" s="131"/>
      <c r="U108" s="131"/>
      <c r="V108" s="131"/>
      <c r="W108" s="131"/>
      <c r="X108" s="131"/>
      <c r="Y108" s="131"/>
      <c r="Z108" s="131"/>
      <c r="AA108" s="131"/>
      <c r="AB108" s="131"/>
    </row>
    <row r="109" spans="1:28" s="132" customFormat="1" ht="21.75" customHeight="1" x14ac:dyDescent="0.25">
      <c r="A109" s="101"/>
      <c r="B109" s="204"/>
      <c r="C109" s="204"/>
      <c r="D109" s="205"/>
      <c r="E109" s="205"/>
      <c r="F109" s="176"/>
      <c r="G109" s="176"/>
      <c r="H109" s="176"/>
      <c r="I109" s="176"/>
      <c r="J109" s="176"/>
      <c r="K109" s="176"/>
      <c r="L109" s="176"/>
      <c r="M109" s="177"/>
      <c r="N109" s="177"/>
      <c r="O109" s="178"/>
      <c r="P109" s="178"/>
      <c r="Q109" s="378"/>
      <c r="R109" s="265"/>
      <c r="S109" s="265"/>
      <c r="T109" s="131"/>
      <c r="U109" s="131"/>
      <c r="V109" s="131"/>
      <c r="W109" s="131"/>
      <c r="X109" s="131"/>
      <c r="Y109" s="131"/>
      <c r="Z109" s="131"/>
      <c r="AA109" s="131"/>
      <c r="AB109" s="131"/>
    </row>
    <row r="110" spans="1:28" s="132" customFormat="1" ht="18.75" customHeight="1" x14ac:dyDescent="0.25">
      <c r="A110" s="190"/>
      <c r="B110" s="457" t="s">
        <v>264</v>
      </c>
      <c r="C110" s="457"/>
      <c r="D110" s="458"/>
      <c r="E110" s="325"/>
      <c r="F110" s="176">
        <f>SUM(F111:F123)</f>
        <v>1712.8000000000002</v>
      </c>
      <c r="G110" s="176">
        <f>SUM(G111:G123)</f>
        <v>392.75</v>
      </c>
      <c r="H110" s="176">
        <f t="shared" ref="H110:J110" si="84">SUM(H111:H123)</f>
        <v>398.42200000000003</v>
      </c>
      <c r="I110" s="176">
        <f t="shared" si="84"/>
        <v>388.52</v>
      </c>
      <c r="J110" s="176">
        <f t="shared" si="84"/>
        <v>393.77020000000005</v>
      </c>
      <c r="K110" s="250">
        <f t="shared" ref="K110:K112" si="85">G110-I110</f>
        <v>4.2300000000000182</v>
      </c>
      <c r="L110" s="250">
        <f t="shared" ref="L110:L112" si="86">H110-J110</f>
        <v>4.6517999999999802</v>
      </c>
      <c r="M110" s="223">
        <f>SUM(M111:M123)</f>
        <v>149</v>
      </c>
      <c r="N110" s="223">
        <f>SUM(N111:N123)</f>
        <v>148</v>
      </c>
      <c r="O110" s="176">
        <f>SUM(O111:O123)</f>
        <v>9.6080000000000005</v>
      </c>
      <c r="P110" s="176">
        <f>SUM(P111:P123)</f>
        <v>9.0229999999999997</v>
      </c>
      <c r="Q110" s="378">
        <f>SUM(Q111:Q123)</f>
        <v>0</v>
      </c>
      <c r="R110" s="265">
        <f t="shared" ref="R110:R121" si="87">ROUND(O110/M110/3*1000000,0)</f>
        <v>21494</v>
      </c>
      <c r="S110" s="265">
        <f t="shared" ref="S110:S121" si="88">ROUND(P110/N110/3*1000000,0)</f>
        <v>20322</v>
      </c>
      <c r="T110" s="131"/>
      <c r="U110" s="131"/>
      <c r="V110" s="131"/>
      <c r="W110" s="131"/>
      <c r="X110" s="131"/>
      <c r="Y110" s="131"/>
      <c r="Z110" s="131"/>
      <c r="AA110" s="131"/>
      <c r="AB110" s="131"/>
    </row>
    <row r="111" spans="1:28" s="132" customFormat="1" ht="18.75" customHeight="1" x14ac:dyDescent="0.25">
      <c r="A111" s="190" t="s">
        <v>257</v>
      </c>
      <c r="B111" s="191"/>
      <c r="C111" s="191"/>
      <c r="D111" s="192"/>
      <c r="E111" s="103" t="s">
        <v>347</v>
      </c>
      <c r="F111" s="176">
        <v>115.1</v>
      </c>
      <c r="G111" s="176">
        <v>13.05</v>
      </c>
      <c r="H111" s="176">
        <v>13.12</v>
      </c>
      <c r="I111" s="176">
        <v>12.91</v>
      </c>
      <c r="J111" s="176">
        <v>12.95</v>
      </c>
      <c r="K111" s="250">
        <f t="shared" si="85"/>
        <v>0.14000000000000057</v>
      </c>
      <c r="L111" s="250">
        <f t="shared" si="86"/>
        <v>0.16999999999999993</v>
      </c>
      <c r="M111" s="177">
        <v>3</v>
      </c>
      <c r="N111" s="177">
        <v>3</v>
      </c>
      <c r="O111" s="176">
        <v>0.56000000000000005</v>
      </c>
      <c r="P111" s="176">
        <v>0.55800000000000005</v>
      </c>
      <c r="Q111" s="378">
        <v>0</v>
      </c>
      <c r="R111" s="265">
        <f t="shared" si="87"/>
        <v>62222</v>
      </c>
      <c r="S111" s="265">
        <f t="shared" si="88"/>
        <v>62000</v>
      </c>
      <c r="T111" s="131"/>
      <c r="U111" s="131"/>
      <c r="V111" s="131"/>
      <c r="W111" s="131"/>
      <c r="X111" s="131"/>
      <c r="Y111" s="131"/>
      <c r="Z111" s="131"/>
      <c r="AA111" s="131"/>
      <c r="AB111" s="131"/>
    </row>
    <row r="112" spans="1:28" s="132" customFormat="1" ht="21.75" customHeight="1" x14ac:dyDescent="0.25">
      <c r="A112" s="190" t="s">
        <v>320</v>
      </c>
      <c r="B112" s="191"/>
      <c r="C112" s="191"/>
      <c r="D112" s="192"/>
      <c r="E112" s="103" t="s">
        <v>347</v>
      </c>
      <c r="F112" s="176">
        <v>50.2</v>
      </c>
      <c r="G112" s="176">
        <v>26.15</v>
      </c>
      <c r="H112" s="176">
        <v>26.895</v>
      </c>
      <c r="I112" s="176">
        <v>25.93</v>
      </c>
      <c r="J112" s="176">
        <v>26.5</v>
      </c>
      <c r="K112" s="250">
        <f t="shared" si="85"/>
        <v>0.21999999999999886</v>
      </c>
      <c r="L112" s="250">
        <f t="shared" si="86"/>
        <v>0.39499999999999957</v>
      </c>
      <c r="M112" s="177">
        <v>7</v>
      </c>
      <c r="N112" s="177">
        <v>7</v>
      </c>
      <c r="O112" s="176">
        <v>0.25</v>
      </c>
      <c r="P112" s="176">
        <v>0.23899999999999999</v>
      </c>
      <c r="Q112" s="378">
        <v>0</v>
      </c>
      <c r="R112" s="265">
        <f t="shared" si="87"/>
        <v>11905</v>
      </c>
      <c r="S112" s="265">
        <f t="shared" si="88"/>
        <v>11381</v>
      </c>
      <c r="T112" s="131"/>
      <c r="U112" s="131"/>
      <c r="V112" s="131"/>
      <c r="W112" s="131"/>
      <c r="X112" s="131"/>
      <c r="Y112" s="131"/>
      <c r="Z112" s="131"/>
      <c r="AA112" s="131"/>
      <c r="AB112" s="131"/>
    </row>
    <row r="113" spans="1:28" s="132" customFormat="1" ht="21" customHeight="1" x14ac:dyDescent="0.25">
      <c r="A113" s="190" t="s">
        <v>260</v>
      </c>
      <c r="B113" s="191"/>
      <c r="C113" s="191"/>
      <c r="D113" s="192"/>
      <c r="E113" s="103" t="s">
        <v>347</v>
      </c>
      <c r="F113" s="176">
        <v>112.3</v>
      </c>
      <c r="G113" s="176">
        <v>27.5</v>
      </c>
      <c r="H113" s="176">
        <v>27.484999999999999</v>
      </c>
      <c r="I113" s="176">
        <v>27.02</v>
      </c>
      <c r="J113" s="176">
        <v>27.05</v>
      </c>
      <c r="K113" s="250">
        <f t="shared" ref="K113:K122" si="89">G113-I113</f>
        <v>0.48000000000000043</v>
      </c>
      <c r="L113" s="250">
        <f t="shared" ref="L113:L121" si="90">H113-J113</f>
        <v>0.43499999999999872</v>
      </c>
      <c r="M113" s="177">
        <v>8</v>
      </c>
      <c r="N113" s="177">
        <v>8</v>
      </c>
      <c r="O113" s="176">
        <v>0.57999999999999996</v>
      </c>
      <c r="P113" s="176">
        <v>0.57499999999999996</v>
      </c>
      <c r="Q113" s="378">
        <v>0</v>
      </c>
      <c r="R113" s="265">
        <f t="shared" si="87"/>
        <v>24167</v>
      </c>
      <c r="S113" s="265">
        <f t="shared" si="88"/>
        <v>23958</v>
      </c>
      <c r="T113" s="131"/>
      <c r="U113" s="131"/>
      <c r="V113" s="131"/>
      <c r="W113" s="131"/>
      <c r="X113" s="131"/>
      <c r="Y113" s="131"/>
      <c r="Z113" s="131"/>
      <c r="AA113" s="131"/>
      <c r="AB113" s="131"/>
    </row>
    <row r="114" spans="1:28" s="132" customFormat="1" ht="18" customHeight="1" x14ac:dyDescent="0.25">
      <c r="A114" s="190" t="s">
        <v>292</v>
      </c>
      <c r="B114" s="191"/>
      <c r="C114" s="191"/>
      <c r="D114" s="192"/>
      <c r="E114" s="103" t="s">
        <v>347</v>
      </c>
      <c r="F114" s="176">
        <v>41.85</v>
      </c>
      <c r="G114" s="176">
        <v>10.3</v>
      </c>
      <c r="H114" s="176">
        <v>10.28</v>
      </c>
      <c r="I114" s="176">
        <v>9.9499999999999993</v>
      </c>
      <c r="J114" s="176">
        <v>9.92</v>
      </c>
      <c r="K114" s="250">
        <f t="shared" si="89"/>
        <v>0.35000000000000142</v>
      </c>
      <c r="L114" s="250">
        <f t="shared" si="90"/>
        <v>0.35999999999999943</v>
      </c>
      <c r="M114" s="177">
        <v>2</v>
      </c>
      <c r="N114" s="177">
        <v>2</v>
      </c>
      <c r="O114" s="176">
        <v>0.17499999999999999</v>
      </c>
      <c r="P114" s="176">
        <v>0.16500000000000001</v>
      </c>
      <c r="Q114" s="378">
        <v>0</v>
      </c>
      <c r="R114" s="265">
        <f t="shared" si="87"/>
        <v>29167</v>
      </c>
      <c r="S114" s="265">
        <f t="shared" si="88"/>
        <v>27500</v>
      </c>
      <c r="T114" s="131"/>
      <c r="U114" s="131"/>
      <c r="V114" s="131"/>
      <c r="W114" s="131"/>
      <c r="X114" s="131"/>
      <c r="Y114" s="131"/>
      <c r="Z114" s="131"/>
      <c r="AA114" s="131"/>
      <c r="AB114" s="131"/>
    </row>
    <row r="115" spans="1:28" s="132" customFormat="1" ht="18.75" customHeight="1" x14ac:dyDescent="0.25">
      <c r="A115" s="190" t="s">
        <v>261</v>
      </c>
      <c r="B115" s="191"/>
      <c r="C115" s="191"/>
      <c r="D115" s="192"/>
      <c r="E115" s="103" t="s">
        <v>347</v>
      </c>
      <c r="F115" s="176">
        <v>76.78</v>
      </c>
      <c r="G115" s="176">
        <v>18.2</v>
      </c>
      <c r="H115" s="176">
        <v>18.12</v>
      </c>
      <c r="I115" s="176">
        <v>17.91</v>
      </c>
      <c r="J115" s="176">
        <v>17.8902</v>
      </c>
      <c r="K115" s="250">
        <f t="shared" si="89"/>
        <v>0.28999999999999915</v>
      </c>
      <c r="L115" s="250">
        <f t="shared" si="90"/>
        <v>0.22980000000000089</v>
      </c>
      <c r="M115" s="177">
        <v>5</v>
      </c>
      <c r="N115" s="177">
        <v>5</v>
      </c>
      <c r="O115" s="176">
        <v>0.36499999999999999</v>
      </c>
      <c r="P115" s="176">
        <v>0.35</v>
      </c>
      <c r="Q115" s="378">
        <v>0</v>
      </c>
      <c r="R115" s="265">
        <f t="shared" si="87"/>
        <v>24333</v>
      </c>
      <c r="S115" s="265">
        <f t="shared" si="88"/>
        <v>23333</v>
      </c>
      <c r="T115" s="131"/>
      <c r="U115" s="131"/>
      <c r="V115" s="131"/>
      <c r="W115" s="131"/>
      <c r="X115" s="131"/>
      <c r="Y115" s="131"/>
      <c r="Z115" s="131"/>
      <c r="AA115" s="131"/>
      <c r="AB115" s="131"/>
    </row>
    <row r="116" spans="1:28" ht="18" customHeight="1" x14ac:dyDescent="0.25">
      <c r="A116" s="190" t="s">
        <v>293</v>
      </c>
      <c r="B116" s="191"/>
      <c r="C116" s="191"/>
      <c r="D116" s="192"/>
      <c r="E116" s="192" t="s">
        <v>350</v>
      </c>
      <c r="F116" s="176">
        <v>37.4</v>
      </c>
      <c r="G116" s="176">
        <v>9.02</v>
      </c>
      <c r="H116" s="176">
        <v>9.15</v>
      </c>
      <c r="I116" s="176">
        <v>8.91</v>
      </c>
      <c r="J116" s="176">
        <v>9.02</v>
      </c>
      <c r="K116" s="250">
        <f t="shared" si="89"/>
        <v>0.10999999999999943</v>
      </c>
      <c r="L116" s="250">
        <f t="shared" si="90"/>
        <v>0.13000000000000078</v>
      </c>
      <c r="M116" s="177">
        <v>2</v>
      </c>
      <c r="N116" s="177">
        <v>2</v>
      </c>
      <c r="O116" s="176">
        <v>0.1</v>
      </c>
      <c r="P116" s="176">
        <v>9.0999999999999998E-2</v>
      </c>
      <c r="Q116" s="378">
        <v>0</v>
      </c>
      <c r="R116" s="265">
        <f t="shared" si="87"/>
        <v>16667</v>
      </c>
      <c r="S116" s="265">
        <f t="shared" si="88"/>
        <v>15167</v>
      </c>
      <c r="T116" s="69"/>
      <c r="U116" s="69"/>
      <c r="V116" s="69"/>
      <c r="W116" s="69"/>
      <c r="X116" s="69"/>
      <c r="Y116" s="69"/>
      <c r="Z116" s="69"/>
      <c r="AA116" s="69"/>
      <c r="AB116" s="69"/>
    </row>
    <row r="117" spans="1:28" ht="18" customHeight="1" x14ac:dyDescent="0.25">
      <c r="A117" s="190" t="s">
        <v>233</v>
      </c>
      <c r="B117" s="191"/>
      <c r="C117" s="191"/>
      <c r="D117" s="192"/>
      <c r="E117" s="103" t="s">
        <v>347</v>
      </c>
      <c r="F117" s="176">
        <v>110.12</v>
      </c>
      <c r="G117" s="176">
        <v>29.61</v>
      </c>
      <c r="H117" s="176">
        <v>29.5</v>
      </c>
      <c r="I117" s="176">
        <v>29.21</v>
      </c>
      <c r="J117" s="176">
        <v>29.11</v>
      </c>
      <c r="K117" s="250">
        <f t="shared" si="89"/>
        <v>0.39999999999999858</v>
      </c>
      <c r="L117" s="250">
        <f t="shared" si="90"/>
        <v>0.39000000000000057</v>
      </c>
      <c r="M117" s="177">
        <v>14</v>
      </c>
      <c r="N117" s="177">
        <v>14</v>
      </c>
      <c r="O117" s="176">
        <v>0.71</v>
      </c>
      <c r="P117" s="176">
        <v>0.63500000000000001</v>
      </c>
      <c r="Q117" s="378">
        <v>0</v>
      </c>
      <c r="R117" s="265">
        <f t="shared" si="87"/>
        <v>16905</v>
      </c>
      <c r="S117" s="265">
        <f t="shared" si="88"/>
        <v>15119</v>
      </c>
      <c r="T117" s="69"/>
      <c r="U117" s="69"/>
      <c r="V117" s="69"/>
      <c r="W117" s="69"/>
      <c r="X117" s="69"/>
      <c r="Y117" s="69"/>
      <c r="Z117" s="69"/>
      <c r="AA117" s="69"/>
      <c r="AB117" s="69"/>
    </row>
    <row r="118" spans="1:28" ht="20.25" customHeight="1" x14ac:dyDescent="0.25">
      <c r="A118" s="190" t="s">
        <v>321</v>
      </c>
      <c r="B118" s="191"/>
      <c r="C118" s="191"/>
      <c r="D118" s="192"/>
      <c r="E118" s="103" t="s">
        <v>347</v>
      </c>
      <c r="F118" s="176">
        <v>26.1</v>
      </c>
      <c r="G118" s="176">
        <v>5.8</v>
      </c>
      <c r="H118" s="176">
        <v>5.75</v>
      </c>
      <c r="I118" s="176">
        <v>5.56</v>
      </c>
      <c r="J118" s="176">
        <v>5.5</v>
      </c>
      <c r="K118" s="250">
        <f t="shared" si="89"/>
        <v>0.24000000000000021</v>
      </c>
      <c r="L118" s="250">
        <f t="shared" si="90"/>
        <v>0.25</v>
      </c>
      <c r="M118" s="177">
        <v>5</v>
      </c>
      <c r="N118" s="177">
        <v>5</v>
      </c>
      <c r="O118" s="176">
        <v>0.27800000000000002</v>
      </c>
      <c r="P118" s="176">
        <v>0.26200000000000001</v>
      </c>
      <c r="Q118" s="378">
        <v>0</v>
      </c>
      <c r="R118" s="265">
        <f t="shared" si="87"/>
        <v>18533</v>
      </c>
      <c r="S118" s="265">
        <f t="shared" si="88"/>
        <v>17467</v>
      </c>
      <c r="T118" s="69"/>
      <c r="U118" s="69"/>
      <c r="V118" s="69"/>
      <c r="W118" s="69"/>
      <c r="X118" s="69"/>
      <c r="Y118" s="69"/>
      <c r="Z118" s="69"/>
      <c r="AA118" s="69"/>
      <c r="AB118" s="69"/>
    </row>
    <row r="119" spans="1:28" ht="20.25" customHeight="1" x14ac:dyDescent="0.25">
      <c r="A119" s="190" t="s">
        <v>234</v>
      </c>
      <c r="B119" s="191"/>
      <c r="C119" s="191"/>
      <c r="D119" s="192"/>
      <c r="E119" s="103" t="s">
        <v>347</v>
      </c>
      <c r="F119" s="176">
        <v>137.86000000000001</v>
      </c>
      <c r="G119" s="176">
        <v>19.7</v>
      </c>
      <c r="H119" s="176">
        <v>19.670000000000002</v>
      </c>
      <c r="I119" s="176">
        <v>19.350000000000001</v>
      </c>
      <c r="J119" s="176">
        <v>19.29</v>
      </c>
      <c r="K119" s="250">
        <f t="shared" si="89"/>
        <v>0.34999999999999787</v>
      </c>
      <c r="L119" s="250">
        <f t="shared" si="90"/>
        <v>0.38000000000000256</v>
      </c>
      <c r="M119" s="177">
        <v>9</v>
      </c>
      <c r="N119" s="177">
        <v>9</v>
      </c>
      <c r="O119" s="176">
        <v>1.079</v>
      </c>
      <c r="P119" s="176">
        <v>0.53100000000000003</v>
      </c>
      <c r="Q119" s="378">
        <v>0</v>
      </c>
      <c r="R119" s="265">
        <f t="shared" si="87"/>
        <v>39963</v>
      </c>
      <c r="S119" s="265">
        <f t="shared" si="88"/>
        <v>19667</v>
      </c>
      <c r="T119" s="69"/>
      <c r="U119" s="69"/>
      <c r="V119" s="69"/>
      <c r="W119" s="69"/>
      <c r="X119" s="69"/>
      <c r="Y119" s="69"/>
      <c r="Z119" s="69"/>
      <c r="AA119" s="69"/>
      <c r="AB119" s="69"/>
    </row>
    <row r="120" spans="1:28" ht="20.25" customHeight="1" x14ac:dyDescent="0.25">
      <c r="A120" s="190" t="s">
        <v>312</v>
      </c>
      <c r="B120" s="191"/>
      <c r="C120" s="191"/>
      <c r="D120" s="192"/>
      <c r="E120" s="103" t="s">
        <v>347</v>
      </c>
      <c r="F120" s="176">
        <v>178.84</v>
      </c>
      <c r="G120" s="176">
        <v>45.6</v>
      </c>
      <c r="H120" s="176">
        <v>45.712000000000003</v>
      </c>
      <c r="I120" s="176">
        <v>45.12</v>
      </c>
      <c r="J120" s="176">
        <v>45.01</v>
      </c>
      <c r="K120" s="250">
        <f t="shared" si="89"/>
        <v>0.48000000000000398</v>
      </c>
      <c r="L120" s="250">
        <f t="shared" si="90"/>
        <v>0.70200000000000529</v>
      </c>
      <c r="M120" s="177">
        <v>16</v>
      </c>
      <c r="N120" s="177">
        <v>16</v>
      </c>
      <c r="O120" s="176">
        <v>1.1200000000000001</v>
      </c>
      <c r="P120" s="176">
        <v>1.1060000000000001</v>
      </c>
      <c r="Q120" s="378">
        <v>0</v>
      </c>
      <c r="R120" s="265">
        <f t="shared" si="87"/>
        <v>23333</v>
      </c>
      <c r="S120" s="265">
        <f t="shared" si="88"/>
        <v>23042</v>
      </c>
      <c r="T120" s="69"/>
      <c r="U120" s="69"/>
      <c r="V120" s="69"/>
      <c r="W120" s="69"/>
      <c r="X120" s="69"/>
      <c r="Y120" s="69"/>
      <c r="Z120" s="69"/>
      <c r="AA120" s="69"/>
      <c r="AB120" s="69"/>
    </row>
    <row r="121" spans="1:28" ht="23.25" customHeight="1" x14ac:dyDescent="0.25">
      <c r="A121" s="190" t="s">
        <v>271</v>
      </c>
      <c r="B121" s="191"/>
      <c r="C121" s="191"/>
      <c r="D121" s="192"/>
      <c r="E121" s="192" t="s">
        <v>350</v>
      </c>
      <c r="F121" s="176">
        <v>17.62</v>
      </c>
      <c r="G121" s="176">
        <v>4.0999999999999996</v>
      </c>
      <c r="H121" s="176">
        <v>4.12</v>
      </c>
      <c r="I121" s="176">
        <v>4.05</v>
      </c>
      <c r="J121" s="176">
        <v>4.05</v>
      </c>
      <c r="K121" s="250">
        <f t="shared" si="89"/>
        <v>4.9999999999999822E-2</v>
      </c>
      <c r="L121" s="250">
        <f t="shared" si="90"/>
        <v>7.0000000000000284E-2</v>
      </c>
      <c r="M121" s="177">
        <v>5</v>
      </c>
      <c r="N121" s="177">
        <v>5</v>
      </c>
      <c r="O121" s="176">
        <v>0.23</v>
      </c>
      <c r="P121" s="176">
        <v>0.22800000000000001</v>
      </c>
      <c r="Q121" s="378">
        <v>0</v>
      </c>
      <c r="R121" s="265">
        <f t="shared" si="87"/>
        <v>15333</v>
      </c>
      <c r="S121" s="265">
        <f t="shared" si="88"/>
        <v>15200</v>
      </c>
      <c r="T121" s="69"/>
      <c r="U121" s="69"/>
      <c r="V121" s="69"/>
      <c r="W121" s="69"/>
      <c r="X121" s="69"/>
      <c r="Y121" s="69"/>
      <c r="Z121" s="69"/>
      <c r="AA121" s="69"/>
      <c r="AB121" s="69"/>
    </row>
    <row r="122" spans="1:28" ht="21.75" customHeight="1" x14ac:dyDescent="0.25">
      <c r="A122" s="190" t="s">
        <v>272</v>
      </c>
      <c r="B122" s="191"/>
      <c r="C122" s="191"/>
      <c r="D122" s="192"/>
      <c r="E122" s="103" t="s">
        <v>347</v>
      </c>
      <c r="F122" s="176">
        <v>18</v>
      </c>
      <c r="G122" s="176">
        <v>3.52</v>
      </c>
      <c r="H122" s="176">
        <v>3.5</v>
      </c>
      <c r="I122" s="176">
        <v>3.45</v>
      </c>
      <c r="J122" s="176">
        <v>3.43</v>
      </c>
      <c r="K122" s="250">
        <f t="shared" si="89"/>
        <v>6.999999999999984E-2</v>
      </c>
      <c r="L122" s="235">
        <v>0.05</v>
      </c>
      <c r="M122" s="177">
        <v>2</v>
      </c>
      <c r="N122" s="177">
        <v>2</v>
      </c>
      <c r="O122" s="176">
        <v>0.191</v>
      </c>
      <c r="P122" s="176">
        <v>0.185</v>
      </c>
      <c r="Q122" s="378">
        <v>0</v>
      </c>
      <c r="R122" s="265">
        <f t="shared" ref="R122" si="91">ROUND(O122/M122/3*1000000,0)</f>
        <v>31833</v>
      </c>
      <c r="S122" s="265">
        <f t="shared" ref="S122" si="92">ROUND(P122/N122/3*1000000,0)</f>
        <v>30833</v>
      </c>
      <c r="T122" s="69"/>
      <c r="U122" s="69"/>
      <c r="V122" s="69"/>
      <c r="W122" s="69"/>
      <c r="X122" s="69"/>
      <c r="Y122" s="69"/>
      <c r="Z122" s="69"/>
      <c r="AA122" s="69"/>
      <c r="AB122" s="69"/>
    </row>
    <row r="123" spans="1:28" s="222" customFormat="1" ht="24.75" customHeight="1" x14ac:dyDescent="0.25">
      <c r="A123" s="190" t="s">
        <v>281</v>
      </c>
      <c r="B123" s="191"/>
      <c r="C123" s="191"/>
      <c r="D123" s="192"/>
      <c r="E123" s="103" t="s">
        <v>347</v>
      </c>
      <c r="F123" s="178">
        <v>790.63</v>
      </c>
      <c r="G123" s="178">
        <v>180.2</v>
      </c>
      <c r="H123" s="178">
        <v>185.12</v>
      </c>
      <c r="I123" s="178">
        <v>179.15</v>
      </c>
      <c r="J123" s="178">
        <v>184.05</v>
      </c>
      <c r="K123" s="250">
        <f t="shared" ref="K123" si="93">G123-I123</f>
        <v>1.0499999999999829</v>
      </c>
      <c r="L123" s="250">
        <f t="shared" ref="L123" si="94">H123-J123</f>
        <v>1.0699999999999932</v>
      </c>
      <c r="M123" s="251">
        <v>71</v>
      </c>
      <c r="N123" s="251">
        <v>70</v>
      </c>
      <c r="O123" s="178">
        <v>3.97</v>
      </c>
      <c r="P123" s="178">
        <v>4.0979999999999999</v>
      </c>
      <c r="Q123" s="377">
        <v>0</v>
      </c>
      <c r="R123" s="265">
        <f t="shared" ref="R123" si="95">ROUND(O123/M123/3*1000000,0)</f>
        <v>18638</v>
      </c>
      <c r="S123" s="265">
        <f t="shared" ref="S123" si="96">ROUND(P123/N123/3*1000000,0)</f>
        <v>19514</v>
      </c>
      <c r="T123" s="207"/>
      <c r="U123" s="207"/>
      <c r="V123" s="207"/>
      <c r="W123" s="207"/>
      <c r="X123" s="207"/>
      <c r="Y123" s="207"/>
      <c r="Z123" s="207"/>
      <c r="AA123" s="207"/>
      <c r="AB123" s="207"/>
    </row>
    <row r="124" spans="1:28" ht="24.75" customHeight="1" x14ac:dyDescent="0.25">
      <c r="A124" s="440" t="s">
        <v>174</v>
      </c>
      <c r="B124" s="441"/>
      <c r="C124" s="441"/>
      <c r="D124" s="442"/>
      <c r="E124" s="332"/>
      <c r="F124" s="259">
        <f>F125+F129</f>
        <v>377.21600000000001</v>
      </c>
      <c r="G124" s="259">
        <f t="shared" ref="G124:Q124" si="97">G125+G129</f>
        <v>60.22</v>
      </c>
      <c r="H124" s="259">
        <f t="shared" si="97"/>
        <v>49.185000000000002</v>
      </c>
      <c r="I124" s="259">
        <f t="shared" si="97"/>
        <v>63.581999999999994</v>
      </c>
      <c r="J124" s="259">
        <f t="shared" si="97"/>
        <v>51.15</v>
      </c>
      <c r="K124" s="259">
        <f t="shared" si="97"/>
        <v>-4.0239999999999982</v>
      </c>
      <c r="L124" s="259">
        <f>L125+L129</f>
        <v>-1.9649999999999972</v>
      </c>
      <c r="M124" s="260">
        <f t="shared" si="97"/>
        <v>137</v>
      </c>
      <c r="N124" s="260">
        <f t="shared" si="97"/>
        <v>137</v>
      </c>
      <c r="O124" s="259">
        <f t="shared" si="97"/>
        <v>21.101000000000003</v>
      </c>
      <c r="P124" s="259">
        <f t="shared" si="97"/>
        <v>20.931999999999999</v>
      </c>
      <c r="Q124" s="383">
        <f t="shared" si="97"/>
        <v>0.14699999999999999</v>
      </c>
      <c r="R124" s="265">
        <f t="shared" ref="R124:R127" si="98">ROUND(O124/M124/3*1000000,0)</f>
        <v>51341</v>
      </c>
      <c r="S124" s="265">
        <f t="shared" ref="S124:S127" si="99">ROUND(P124/N124/3*1000000,0)</f>
        <v>50929</v>
      </c>
      <c r="T124" s="69"/>
      <c r="U124" s="69"/>
      <c r="V124" s="69"/>
      <c r="W124" s="69"/>
      <c r="X124" s="69"/>
      <c r="Y124" s="69"/>
      <c r="Z124" s="69"/>
      <c r="AA124" s="69"/>
      <c r="AB124" s="69"/>
    </row>
    <row r="125" spans="1:28" x14ac:dyDescent="0.25">
      <c r="A125" s="101"/>
      <c r="B125" s="429" t="s">
        <v>42</v>
      </c>
      <c r="C125" s="429"/>
      <c r="D125" s="430"/>
      <c r="E125" s="234"/>
      <c r="F125" s="129">
        <f>SUM(F126:F127)</f>
        <v>329.346</v>
      </c>
      <c r="G125" s="129">
        <f t="shared" ref="G125:Q125" si="100">SUM(G126:G127)</f>
        <v>44.75</v>
      </c>
      <c r="H125" s="129">
        <f t="shared" si="100"/>
        <v>33.914999999999999</v>
      </c>
      <c r="I125" s="129">
        <f t="shared" si="100"/>
        <v>48.321999999999996</v>
      </c>
      <c r="J125" s="129">
        <f t="shared" si="100"/>
        <v>36.244</v>
      </c>
      <c r="K125" s="129">
        <f t="shared" si="100"/>
        <v>-4.2339999999999973</v>
      </c>
      <c r="L125" s="405">
        <f t="shared" si="100"/>
        <v>-2.3289999999999997</v>
      </c>
      <c r="M125" s="228">
        <f t="shared" si="100"/>
        <v>120</v>
      </c>
      <c r="N125" s="228">
        <f t="shared" si="100"/>
        <v>120</v>
      </c>
      <c r="O125" s="129">
        <f t="shared" si="100"/>
        <v>20.013000000000002</v>
      </c>
      <c r="P125" s="129">
        <f t="shared" si="100"/>
        <v>19.875</v>
      </c>
      <c r="Q125" s="371">
        <f t="shared" si="100"/>
        <v>0.14699999999999999</v>
      </c>
      <c r="R125" s="265">
        <f t="shared" si="98"/>
        <v>55592</v>
      </c>
      <c r="S125" s="265">
        <f t="shared" si="99"/>
        <v>55208</v>
      </c>
      <c r="T125" s="69"/>
      <c r="U125" s="69"/>
      <c r="V125" s="69"/>
      <c r="W125" s="69"/>
      <c r="X125" s="69"/>
      <c r="Y125" s="69"/>
      <c r="Z125" s="69"/>
      <c r="AA125" s="69"/>
      <c r="AB125" s="69"/>
    </row>
    <row r="126" spans="1:28" s="132" customFormat="1" ht="18" customHeight="1" x14ac:dyDescent="0.25">
      <c r="A126" s="446" t="s">
        <v>318</v>
      </c>
      <c r="B126" s="447"/>
      <c r="C126" s="447"/>
      <c r="D126" s="448"/>
      <c r="E126" s="103" t="s">
        <v>347</v>
      </c>
      <c r="F126" s="137">
        <v>27.346</v>
      </c>
      <c r="G126" s="137">
        <v>6.9610000000000003</v>
      </c>
      <c r="H126" s="137">
        <v>6.7359999999999998</v>
      </c>
      <c r="I126" s="137">
        <v>7.2359999999999998</v>
      </c>
      <c r="J126" s="129">
        <v>7.2359999999999998</v>
      </c>
      <c r="K126" s="268">
        <v>-0.93700000000000006</v>
      </c>
      <c r="L126" s="344">
        <v>-0.5</v>
      </c>
      <c r="M126" s="138">
        <v>25</v>
      </c>
      <c r="N126" s="138">
        <v>25</v>
      </c>
      <c r="O126" s="135">
        <v>3.9129999999999998</v>
      </c>
      <c r="P126" s="135">
        <v>3.375</v>
      </c>
      <c r="Q126" s="384">
        <v>0</v>
      </c>
      <c r="R126" s="265">
        <f t="shared" si="98"/>
        <v>52173</v>
      </c>
      <c r="S126" s="265">
        <f t="shared" si="99"/>
        <v>45000</v>
      </c>
      <c r="T126" s="131"/>
      <c r="U126" s="131"/>
      <c r="V126" s="131"/>
      <c r="W126" s="131"/>
      <c r="X126" s="131"/>
      <c r="Y126" s="131"/>
      <c r="Z126" s="131"/>
      <c r="AA126" s="131"/>
      <c r="AB126" s="131"/>
    </row>
    <row r="127" spans="1:28" s="132" customFormat="1" ht="20.25" customHeight="1" x14ac:dyDescent="0.25">
      <c r="A127" s="101" t="s">
        <v>216</v>
      </c>
      <c r="B127" s="102"/>
      <c r="C127" s="102"/>
      <c r="D127" s="103"/>
      <c r="E127" s="103" t="s">
        <v>347</v>
      </c>
      <c r="F127" s="181">
        <v>302</v>
      </c>
      <c r="G127" s="275">
        <v>37.789000000000001</v>
      </c>
      <c r="H127" s="275">
        <v>27.178999999999998</v>
      </c>
      <c r="I127" s="179">
        <v>41.085999999999999</v>
      </c>
      <c r="J127" s="179">
        <v>29.007999999999999</v>
      </c>
      <c r="K127" s="402">
        <f t="shared" ref="K127" si="101">G127-I127</f>
        <v>-3.296999999999997</v>
      </c>
      <c r="L127" s="344">
        <v>-1.829</v>
      </c>
      <c r="M127" s="276">
        <v>95</v>
      </c>
      <c r="N127" s="276">
        <v>95</v>
      </c>
      <c r="O127" s="179">
        <v>16.100000000000001</v>
      </c>
      <c r="P127" s="179">
        <v>16.5</v>
      </c>
      <c r="Q127" s="385">
        <v>0.14699999999999999</v>
      </c>
      <c r="R127" s="265">
        <f t="shared" si="98"/>
        <v>56491</v>
      </c>
      <c r="S127" s="265">
        <f t="shared" si="99"/>
        <v>57895</v>
      </c>
      <c r="T127" s="131"/>
      <c r="U127" s="131"/>
      <c r="V127" s="131"/>
      <c r="W127" s="131"/>
      <c r="X127" s="131"/>
      <c r="Y127" s="131"/>
      <c r="Z127" s="131"/>
      <c r="AA127" s="131"/>
      <c r="AB127" s="131"/>
    </row>
    <row r="128" spans="1:28" s="132" customFormat="1" x14ac:dyDescent="0.25">
      <c r="A128" s="101"/>
      <c r="B128" s="133"/>
      <c r="C128" s="133"/>
      <c r="D128" s="134"/>
      <c r="E128" s="134"/>
      <c r="F128" s="179"/>
      <c r="G128" s="179"/>
      <c r="H128" s="179"/>
      <c r="I128" s="179"/>
      <c r="J128" s="179"/>
      <c r="K128" s="179"/>
      <c r="L128" s="179"/>
      <c r="M128" s="180"/>
      <c r="N128" s="180"/>
      <c r="O128" s="179"/>
      <c r="P128" s="179"/>
      <c r="Q128" s="385"/>
      <c r="R128" s="265"/>
      <c r="S128" s="265"/>
      <c r="T128" s="131"/>
      <c r="U128" s="131"/>
      <c r="V128" s="131"/>
      <c r="W128" s="131"/>
      <c r="X128" s="131"/>
      <c r="Y128" s="131"/>
      <c r="Z128" s="131"/>
      <c r="AA128" s="131"/>
      <c r="AB128" s="131"/>
    </row>
    <row r="129" spans="1:28" s="132" customFormat="1" x14ac:dyDescent="0.25">
      <c r="A129" s="101"/>
      <c r="B129" s="457" t="s">
        <v>264</v>
      </c>
      <c r="C129" s="457"/>
      <c r="D129" s="458"/>
      <c r="E129" s="325"/>
      <c r="F129" s="179">
        <f>SUM(F130:F132)</f>
        <v>47.870000000000005</v>
      </c>
      <c r="G129" s="179">
        <f>SUM(G130:G132)</f>
        <v>15.469999999999999</v>
      </c>
      <c r="H129" s="179">
        <f>SUM(H130:H132)</f>
        <v>15.270000000000001</v>
      </c>
      <c r="I129" s="179">
        <f>SUM(I130:I132)</f>
        <v>15.26</v>
      </c>
      <c r="J129" s="179">
        <f>SUM(J130:J132)</f>
        <v>14.905999999999999</v>
      </c>
      <c r="K129" s="250">
        <f t="shared" ref="K129" si="102">G129-I129</f>
        <v>0.20999999999999908</v>
      </c>
      <c r="L129" s="250">
        <f t="shared" ref="L129" si="103">H129-J129</f>
        <v>0.36400000000000254</v>
      </c>
      <c r="M129" s="229">
        <f>SUM(M130:M132)</f>
        <v>17</v>
      </c>
      <c r="N129" s="229">
        <f>SUM(N130:N132)</f>
        <v>17</v>
      </c>
      <c r="O129" s="179">
        <f>SUM(O130:O132)</f>
        <v>1.0880000000000001</v>
      </c>
      <c r="P129" s="179">
        <f>SUM(P130:P132)</f>
        <v>1.0569999999999999</v>
      </c>
      <c r="Q129" s="385">
        <f>SUM(Q130:Q132)</f>
        <v>0</v>
      </c>
      <c r="R129" s="265">
        <f t="shared" ref="R129:R132" si="104">ROUND(O129/M129/3*1000000,0)</f>
        <v>21333</v>
      </c>
      <c r="S129" s="265">
        <f t="shared" ref="S129:S132" si="105">ROUND(P129/N129/3*1000000,0)</f>
        <v>20725</v>
      </c>
      <c r="T129" s="131"/>
      <c r="U129" s="131"/>
      <c r="V129" s="131"/>
      <c r="W129" s="131"/>
      <c r="X129" s="131"/>
      <c r="Y129" s="131"/>
      <c r="Z129" s="131"/>
      <c r="AA129" s="131"/>
      <c r="AB129" s="131"/>
    </row>
    <row r="130" spans="1:28" s="132" customFormat="1" ht="15.75" customHeight="1" x14ac:dyDescent="0.25">
      <c r="A130" s="446" t="s">
        <v>265</v>
      </c>
      <c r="B130" s="447"/>
      <c r="C130" s="447"/>
      <c r="D130" s="448"/>
      <c r="E130" s="103" t="s">
        <v>347</v>
      </c>
      <c r="F130" s="179">
        <v>35.270000000000003</v>
      </c>
      <c r="G130" s="179">
        <v>7.2</v>
      </c>
      <c r="H130" s="179">
        <v>7.12</v>
      </c>
      <c r="I130" s="179">
        <v>7.12</v>
      </c>
      <c r="J130" s="179">
        <v>7.05</v>
      </c>
      <c r="K130" s="250">
        <f t="shared" ref="K130:K132" si="106">G130-I130</f>
        <v>8.0000000000000071E-2</v>
      </c>
      <c r="L130" s="250">
        <f t="shared" ref="L130:L132" si="107">H130-J130</f>
        <v>7.0000000000000284E-2</v>
      </c>
      <c r="M130" s="180">
        <v>6</v>
      </c>
      <c r="N130" s="180">
        <v>6</v>
      </c>
      <c r="O130" s="179">
        <v>0.498</v>
      </c>
      <c r="P130" s="179">
        <v>0.48099999999999998</v>
      </c>
      <c r="Q130" s="385">
        <v>0</v>
      </c>
      <c r="R130" s="265">
        <f t="shared" si="104"/>
        <v>27667</v>
      </c>
      <c r="S130" s="265">
        <f t="shared" si="105"/>
        <v>26722</v>
      </c>
      <c r="T130" s="131"/>
      <c r="U130" s="131"/>
      <c r="V130" s="131"/>
      <c r="W130" s="131"/>
      <c r="X130" s="131"/>
      <c r="Y130" s="131"/>
      <c r="Z130" s="131"/>
      <c r="AA130" s="131"/>
      <c r="AB130" s="131"/>
    </row>
    <row r="131" spans="1:28" s="132" customFormat="1" ht="15.75" customHeight="1" x14ac:dyDescent="0.25">
      <c r="A131" s="206" t="s">
        <v>357</v>
      </c>
      <c r="B131" s="207"/>
      <c r="C131" s="207"/>
      <c r="D131" s="208"/>
      <c r="E131" s="103" t="s">
        <v>347</v>
      </c>
      <c r="F131" s="179">
        <v>3.5</v>
      </c>
      <c r="G131" s="179">
        <v>2.81</v>
      </c>
      <c r="H131" s="179">
        <v>2.75</v>
      </c>
      <c r="I131" s="179">
        <v>2.74</v>
      </c>
      <c r="J131" s="179">
        <v>2.5059999999999998</v>
      </c>
      <c r="K131" s="250">
        <f t="shared" si="106"/>
        <v>6.999999999999984E-2</v>
      </c>
      <c r="L131" s="250">
        <f t="shared" si="107"/>
        <v>0.24400000000000022</v>
      </c>
      <c r="M131" s="180">
        <v>5</v>
      </c>
      <c r="N131" s="180">
        <v>5</v>
      </c>
      <c r="O131" s="179">
        <v>0.27</v>
      </c>
      <c r="P131" s="179">
        <v>0.26600000000000001</v>
      </c>
      <c r="Q131" s="385">
        <v>0</v>
      </c>
      <c r="R131" s="265">
        <f t="shared" si="104"/>
        <v>18000</v>
      </c>
      <c r="S131" s="265">
        <f t="shared" si="105"/>
        <v>17733</v>
      </c>
      <c r="T131" s="131"/>
      <c r="U131" s="131"/>
      <c r="V131" s="131"/>
      <c r="W131" s="131"/>
      <c r="X131" s="131"/>
      <c r="Y131" s="131"/>
      <c r="Z131" s="131"/>
      <c r="AA131" s="131"/>
      <c r="AB131" s="131"/>
    </row>
    <row r="132" spans="1:28" x14ac:dyDescent="0.25">
      <c r="A132" s="446" t="s">
        <v>270</v>
      </c>
      <c r="B132" s="447"/>
      <c r="C132" s="447"/>
      <c r="D132" s="448"/>
      <c r="E132" s="103" t="s">
        <v>347</v>
      </c>
      <c r="F132" s="179">
        <v>9.1</v>
      </c>
      <c r="G132" s="179">
        <v>5.46</v>
      </c>
      <c r="H132" s="179">
        <v>5.4</v>
      </c>
      <c r="I132" s="179">
        <v>5.4</v>
      </c>
      <c r="J132" s="179">
        <v>5.35</v>
      </c>
      <c r="K132" s="250">
        <f t="shared" si="106"/>
        <v>5.9999999999999609E-2</v>
      </c>
      <c r="L132" s="250">
        <f t="shared" si="107"/>
        <v>5.0000000000000711E-2</v>
      </c>
      <c r="M132" s="180">
        <v>6</v>
      </c>
      <c r="N132" s="180">
        <v>6</v>
      </c>
      <c r="O132" s="179">
        <v>0.32</v>
      </c>
      <c r="P132" s="179">
        <v>0.31</v>
      </c>
      <c r="Q132" s="385">
        <v>0</v>
      </c>
      <c r="R132" s="265">
        <f t="shared" si="104"/>
        <v>17778</v>
      </c>
      <c r="S132" s="265">
        <f t="shared" si="105"/>
        <v>17222</v>
      </c>
      <c r="T132" s="69"/>
      <c r="U132" s="69"/>
      <c r="V132" s="69"/>
      <c r="W132" s="69"/>
      <c r="X132" s="69"/>
      <c r="Y132" s="69"/>
      <c r="Z132" s="69"/>
      <c r="AA132" s="69"/>
      <c r="AB132" s="69"/>
    </row>
    <row r="133" spans="1:28" x14ac:dyDescent="0.25">
      <c r="A133" s="206"/>
      <c r="B133" s="207"/>
      <c r="C133" s="207"/>
      <c r="D133" s="208"/>
      <c r="E133" s="208"/>
      <c r="F133" s="337"/>
      <c r="G133" s="337"/>
      <c r="H133" s="337"/>
      <c r="I133" s="337"/>
      <c r="J133" s="337"/>
      <c r="K133" s="340"/>
      <c r="L133" s="129"/>
      <c r="M133" s="338"/>
      <c r="N133" s="338"/>
      <c r="O133" s="337"/>
      <c r="P133" s="337"/>
      <c r="Q133" s="386"/>
      <c r="R133" s="265"/>
      <c r="S133" s="265"/>
      <c r="T133" s="69"/>
      <c r="U133" s="69"/>
      <c r="V133" s="69"/>
      <c r="W133" s="69"/>
      <c r="X133" s="69"/>
      <c r="Y133" s="69"/>
      <c r="Z133" s="69"/>
      <c r="AA133" s="69"/>
      <c r="AB133" s="69"/>
    </row>
    <row r="134" spans="1:28" ht="39.75" customHeight="1" x14ac:dyDescent="0.25">
      <c r="A134" s="467" t="s">
        <v>329</v>
      </c>
      <c r="B134" s="467"/>
      <c r="C134" s="467"/>
      <c r="D134" s="467"/>
      <c r="E134" s="342"/>
      <c r="F134" s="257">
        <f>F135+F137</f>
        <v>51.519999999999996</v>
      </c>
      <c r="G134" s="257">
        <f t="shared" ref="G134:Q134" si="108">G135+G137</f>
        <v>12.67</v>
      </c>
      <c r="H134" s="257">
        <f t="shared" si="108"/>
        <v>12.870000000000001</v>
      </c>
      <c r="I134" s="257">
        <f t="shared" si="108"/>
        <v>12.29</v>
      </c>
      <c r="J134" s="257">
        <f t="shared" si="108"/>
        <v>12.6</v>
      </c>
      <c r="K134" s="257">
        <f t="shared" si="108"/>
        <v>0.37999999999999989</v>
      </c>
      <c r="L134" s="257">
        <f t="shared" si="108"/>
        <v>0.27000000000000046</v>
      </c>
      <c r="M134" s="317">
        <f t="shared" si="108"/>
        <v>12</v>
      </c>
      <c r="N134" s="317">
        <f t="shared" si="108"/>
        <v>12</v>
      </c>
      <c r="O134" s="257">
        <f t="shared" si="108"/>
        <v>0.76500000000000001</v>
      </c>
      <c r="P134" s="257">
        <f>P135+P137</f>
        <v>0.73399999999999999</v>
      </c>
      <c r="Q134" s="382">
        <f t="shared" si="108"/>
        <v>0</v>
      </c>
      <c r="R134" s="265">
        <f t="shared" ref="R134:R138" si="109">ROUND(O134/M134/3*1000000,0)</f>
        <v>21250</v>
      </c>
      <c r="S134" s="265">
        <f t="shared" ref="S134:S138" si="110">ROUND(P134/N134/3*1000000,0)</f>
        <v>20389</v>
      </c>
      <c r="T134" s="69"/>
      <c r="U134" s="69"/>
      <c r="V134" s="69"/>
      <c r="W134" s="69"/>
      <c r="X134" s="69"/>
      <c r="Y134" s="69"/>
      <c r="Z134" s="69"/>
      <c r="AA134" s="69"/>
      <c r="AB134" s="69"/>
    </row>
    <row r="135" spans="1:28" x14ac:dyDescent="0.25">
      <c r="A135" s="206"/>
      <c r="B135" s="429" t="s">
        <v>42</v>
      </c>
      <c r="C135" s="429"/>
      <c r="D135" s="430"/>
      <c r="E135" s="134"/>
      <c r="F135" s="179">
        <f>F136</f>
        <v>28.5</v>
      </c>
      <c r="G135" s="179">
        <f t="shared" ref="G135:Q135" si="111">G136</f>
        <v>7.1</v>
      </c>
      <c r="H135" s="179">
        <f t="shared" si="111"/>
        <v>7.05</v>
      </c>
      <c r="I135" s="179">
        <f t="shared" si="111"/>
        <v>6.89</v>
      </c>
      <c r="J135" s="179">
        <f t="shared" si="111"/>
        <v>6.85</v>
      </c>
      <c r="K135" s="250">
        <f t="shared" ref="K135:K138" si="112">G135-I135</f>
        <v>0.20999999999999996</v>
      </c>
      <c r="L135" s="250">
        <f t="shared" ref="L135:L138" si="113">H135-J135</f>
        <v>0.20000000000000018</v>
      </c>
      <c r="M135" s="229">
        <f t="shared" si="111"/>
        <v>8</v>
      </c>
      <c r="N135" s="229">
        <f t="shared" si="111"/>
        <v>8</v>
      </c>
      <c r="O135" s="179">
        <f t="shared" si="111"/>
        <v>0.51500000000000001</v>
      </c>
      <c r="P135" s="179">
        <f t="shared" si="111"/>
        <v>0.50800000000000001</v>
      </c>
      <c r="Q135" s="385">
        <f t="shared" si="111"/>
        <v>0</v>
      </c>
      <c r="R135" s="265">
        <f t="shared" si="109"/>
        <v>21458</v>
      </c>
      <c r="S135" s="265">
        <f t="shared" si="110"/>
        <v>21167</v>
      </c>
      <c r="T135" s="69"/>
      <c r="U135" s="69"/>
      <c r="V135" s="69"/>
      <c r="W135" s="69"/>
      <c r="X135" s="69"/>
      <c r="Y135" s="69"/>
      <c r="Z135" s="69"/>
      <c r="AA135" s="69"/>
      <c r="AB135" s="69"/>
    </row>
    <row r="136" spans="1:28" x14ac:dyDescent="0.25">
      <c r="A136" s="190" t="s">
        <v>215</v>
      </c>
      <c r="B136" s="191"/>
      <c r="C136" s="191"/>
      <c r="D136" s="192"/>
      <c r="E136" s="103" t="s">
        <v>347</v>
      </c>
      <c r="F136" s="176">
        <v>28.5</v>
      </c>
      <c r="G136" s="176">
        <v>7.1</v>
      </c>
      <c r="H136" s="176">
        <v>7.05</v>
      </c>
      <c r="I136" s="176">
        <v>6.89</v>
      </c>
      <c r="J136" s="176">
        <v>6.85</v>
      </c>
      <c r="K136" s="250">
        <f t="shared" si="112"/>
        <v>0.20999999999999996</v>
      </c>
      <c r="L136" s="250">
        <f t="shared" si="113"/>
        <v>0.20000000000000018</v>
      </c>
      <c r="M136" s="177">
        <v>8</v>
      </c>
      <c r="N136" s="223">
        <v>8</v>
      </c>
      <c r="O136" s="178">
        <v>0.51500000000000001</v>
      </c>
      <c r="P136" s="178">
        <v>0.50800000000000001</v>
      </c>
      <c r="Q136" s="378">
        <v>0</v>
      </c>
      <c r="R136" s="265">
        <f t="shared" si="109"/>
        <v>21458</v>
      </c>
      <c r="S136" s="265">
        <f t="shared" si="110"/>
        <v>21167</v>
      </c>
      <c r="T136" s="69"/>
      <c r="U136" s="69"/>
      <c r="V136" s="69"/>
      <c r="W136" s="69"/>
      <c r="X136" s="69"/>
      <c r="Y136" s="69"/>
      <c r="Z136" s="69"/>
      <c r="AA136" s="69"/>
      <c r="AB136" s="69"/>
    </row>
    <row r="137" spans="1:28" x14ac:dyDescent="0.25">
      <c r="A137" s="206"/>
      <c r="B137" s="457" t="s">
        <v>264</v>
      </c>
      <c r="C137" s="457"/>
      <c r="D137" s="458"/>
      <c r="E137" s="325"/>
      <c r="F137" s="179">
        <f>F138</f>
        <v>23.02</v>
      </c>
      <c r="G137" s="179">
        <f t="shared" ref="G137:Q137" si="114">G138</f>
        <v>5.57</v>
      </c>
      <c r="H137" s="179">
        <f t="shared" si="114"/>
        <v>5.82</v>
      </c>
      <c r="I137" s="179">
        <f t="shared" si="114"/>
        <v>5.4</v>
      </c>
      <c r="J137" s="179">
        <f t="shared" si="114"/>
        <v>5.75</v>
      </c>
      <c r="K137" s="250">
        <f t="shared" si="112"/>
        <v>0.16999999999999993</v>
      </c>
      <c r="L137" s="250">
        <f t="shared" si="113"/>
        <v>7.0000000000000284E-2</v>
      </c>
      <c r="M137" s="229">
        <f t="shared" si="114"/>
        <v>4</v>
      </c>
      <c r="N137" s="229">
        <f t="shared" si="114"/>
        <v>4</v>
      </c>
      <c r="O137" s="179">
        <f t="shared" si="114"/>
        <v>0.25</v>
      </c>
      <c r="P137" s="179">
        <f t="shared" si="114"/>
        <v>0.22600000000000001</v>
      </c>
      <c r="Q137" s="385">
        <f t="shared" si="114"/>
        <v>0</v>
      </c>
      <c r="R137" s="265">
        <f t="shared" si="109"/>
        <v>20833</v>
      </c>
      <c r="S137" s="265">
        <f t="shared" si="110"/>
        <v>18833</v>
      </c>
      <c r="T137" s="69"/>
      <c r="U137" s="69"/>
      <c r="V137" s="69"/>
      <c r="W137" s="69"/>
      <c r="X137" s="69"/>
      <c r="Y137" s="69"/>
      <c r="Z137" s="69"/>
      <c r="AA137" s="69"/>
      <c r="AB137" s="69"/>
    </row>
    <row r="138" spans="1:28" x14ac:dyDescent="0.25">
      <c r="A138" s="190" t="s">
        <v>235</v>
      </c>
      <c r="B138" s="191"/>
      <c r="C138" s="191"/>
      <c r="D138" s="192"/>
      <c r="E138" s="103" t="s">
        <v>347</v>
      </c>
      <c r="F138" s="176">
        <v>23.02</v>
      </c>
      <c r="G138" s="176">
        <v>5.57</v>
      </c>
      <c r="H138" s="176">
        <v>5.82</v>
      </c>
      <c r="I138" s="176">
        <v>5.4</v>
      </c>
      <c r="J138" s="176">
        <v>5.75</v>
      </c>
      <c r="K138" s="250">
        <f t="shared" si="112"/>
        <v>0.16999999999999993</v>
      </c>
      <c r="L138" s="250">
        <f t="shared" si="113"/>
        <v>7.0000000000000284E-2</v>
      </c>
      <c r="M138" s="177">
        <v>4</v>
      </c>
      <c r="N138" s="223">
        <v>4</v>
      </c>
      <c r="O138" s="176">
        <v>0.25</v>
      </c>
      <c r="P138" s="176">
        <v>0.22600000000000001</v>
      </c>
      <c r="Q138" s="378">
        <v>0</v>
      </c>
      <c r="R138" s="265">
        <f t="shared" si="109"/>
        <v>20833</v>
      </c>
      <c r="S138" s="265">
        <f t="shared" si="110"/>
        <v>18833</v>
      </c>
      <c r="T138" s="69"/>
      <c r="U138" s="69"/>
      <c r="V138" s="69"/>
      <c r="W138" s="69"/>
      <c r="X138" s="69"/>
      <c r="Y138" s="69"/>
      <c r="Z138" s="69"/>
      <c r="AA138" s="69"/>
      <c r="AB138" s="69"/>
    </row>
    <row r="139" spans="1:28" x14ac:dyDescent="0.25">
      <c r="A139" s="206"/>
      <c r="B139" s="207"/>
      <c r="C139" s="207"/>
      <c r="D139" s="208"/>
      <c r="E139" s="208"/>
      <c r="F139" s="129"/>
      <c r="G139" s="129"/>
      <c r="H139" s="129"/>
      <c r="I139" s="129"/>
      <c r="J139" s="129"/>
      <c r="K139" s="129"/>
      <c r="L139" s="129"/>
      <c r="M139" s="71"/>
      <c r="N139" s="71"/>
      <c r="O139" s="129"/>
      <c r="P139" s="129"/>
      <c r="Q139" s="371"/>
      <c r="R139" s="265"/>
      <c r="S139" s="265"/>
      <c r="T139" s="69"/>
      <c r="U139" s="69"/>
      <c r="V139" s="69"/>
      <c r="W139" s="69"/>
      <c r="X139" s="69"/>
      <c r="Y139" s="69"/>
      <c r="Z139" s="69"/>
      <c r="AA139" s="69"/>
      <c r="AB139" s="69"/>
    </row>
    <row r="140" spans="1:28" ht="37.5" customHeight="1" x14ac:dyDescent="0.25">
      <c r="A140" s="422" t="s">
        <v>175</v>
      </c>
      <c r="B140" s="422"/>
      <c r="C140" s="422"/>
      <c r="D140" s="422"/>
      <c r="E140" s="328"/>
      <c r="F140" s="261">
        <f>F141+F144</f>
        <v>14.405999999999999</v>
      </c>
      <c r="G140" s="261">
        <f>G141+G144</f>
        <v>3.79</v>
      </c>
      <c r="H140" s="261">
        <f>H141+H144</f>
        <v>3.8250000000000002</v>
      </c>
      <c r="I140" s="261">
        <f t="shared" ref="I140:Q140" si="115">I141+I144</f>
        <v>3.7</v>
      </c>
      <c r="J140" s="261">
        <f>J141+J144</f>
        <v>3.7569999999999997</v>
      </c>
      <c r="K140" s="261">
        <f t="shared" si="115"/>
        <v>9.000000000000008E-2</v>
      </c>
      <c r="L140" s="261">
        <f>L141+L144</f>
        <v>6.7999999999999977E-2</v>
      </c>
      <c r="M140" s="262">
        <f t="shared" si="115"/>
        <v>58</v>
      </c>
      <c r="N140" s="262">
        <f t="shared" si="115"/>
        <v>58</v>
      </c>
      <c r="O140" s="261">
        <f t="shared" si="115"/>
        <v>5.109</v>
      </c>
      <c r="P140" s="261">
        <f t="shared" si="115"/>
        <v>5.149</v>
      </c>
      <c r="Q140" s="387">
        <f t="shared" si="115"/>
        <v>0</v>
      </c>
      <c r="R140" s="265">
        <f t="shared" ref="R140:R142" si="116">ROUND(O140/M140/3*1000000,0)</f>
        <v>29362</v>
      </c>
      <c r="S140" s="265">
        <f t="shared" ref="S140:S142" si="117">ROUND(P140/N140/3*1000000,0)</f>
        <v>29592</v>
      </c>
      <c r="T140" s="69"/>
      <c r="U140" s="69"/>
      <c r="V140" s="69"/>
      <c r="W140" s="69"/>
      <c r="X140" s="69"/>
      <c r="Y140" s="69"/>
      <c r="Z140" s="69"/>
      <c r="AA140" s="69"/>
      <c r="AB140" s="69"/>
    </row>
    <row r="141" spans="1:28" x14ac:dyDescent="0.25">
      <c r="A141" s="100"/>
      <c r="B141" s="429" t="s">
        <v>42</v>
      </c>
      <c r="C141" s="429"/>
      <c r="D141" s="430"/>
      <c r="E141" s="234"/>
      <c r="F141" s="129">
        <f>F142</f>
        <v>11.2</v>
      </c>
      <c r="G141" s="129">
        <f t="shared" ref="G141:Q141" si="118">G142</f>
        <v>3.2</v>
      </c>
      <c r="H141" s="137">
        <f t="shared" si="118"/>
        <v>3.25</v>
      </c>
      <c r="I141" s="129">
        <f t="shared" si="118"/>
        <v>3.12</v>
      </c>
      <c r="J141" s="137">
        <f t="shared" si="118"/>
        <v>3.15</v>
      </c>
      <c r="K141" s="129">
        <f t="shared" si="118"/>
        <v>8.0000000000000071E-2</v>
      </c>
      <c r="L141" s="137">
        <f t="shared" si="118"/>
        <v>0.1</v>
      </c>
      <c r="M141" s="228">
        <f t="shared" si="118"/>
        <v>55</v>
      </c>
      <c r="N141" s="227">
        <f t="shared" si="118"/>
        <v>55</v>
      </c>
      <c r="O141" s="129">
        <f>O142</f>
        <v>4.8</v>
      </c>
      <c r="P141" s="129">
        <f>P142</f>
        <v>4.7649999999999997</v>
      </c>
      <c r="Q141" s="371">
        <f t="shared" si="118"/>
        <v>0</v>
      </c>
      <c r="R141" s="265">
        <f t="shared" si="116"/>
        <v>29091</v>
      </c>
      <c r="S141" s="265">
        <f t="shared" si="117"/>
        <v>28879</v>
      </c>
      <c r="T141" s="69"/>
      <c r="U141" s="69"/>
      <c r="V141" s="69"/>
      <c r="W141" s="69"/>
      <c r="X141" s="69"/>
      <c r="Y141" s="69"/>
      <c r="Z141" s="69"/>
      <c r="AA141" s="69"/>
      <c r="AB141" s="69"/>
    </row>
    <row r="142" spans="1:28" x14ac:dyDescent="0.25">
      <c r="A142" s="101" t="s">
        <v>218</v>
      </c>
      <c r="B142" s="102"/>
      <c r="C142" s="102"/>
      <c r="D142" s="103"/>
      <c r="E142" s="103" t="s">
        <v>347</v>
      </c>
      <c r="F142" s="137">
        <v>11.2</v>
      </c>
      <c r="G142" s="274">
        <v>3.2</v>
      </c>
      <c r="H142" s="274">
        <v>3.25</v>
      </c>
      <c r="I142" s="137">
        <v>3.12</v>
      </c>
      <c r="J142" s="129">
        <v>3.15</v>
      </c>
      <c r="K142" s="235">
        <f t="shared" ref="K142" si="119">G142-I142</f>
        <v>8.0000000000000071E-2</v>
      </c>
      <c r="L142" s="129">
        <v>0.1</v>
      </c>
      <c r="M142" s="367">
        <v>55</v>
      </c>
      <c r="N142" s="339">
        <v>55</v>
      </c>
      <c r="O142" s="137">
        <v>4.8</v>
      </c>
      <c r="P142" s="137">
        <v>4.7649999999999997</v>
      </c>
      <c r="Q142" s="384">
        <v>0</v>
      </c>
      <c r="R142" s="265">
        <f t="shared" si="116"/>
        <v>29091</v>
      </c>
      <c r="S142" s="265">
        <f t="shared" si="117"/>
        <v>28879</v>
      </c>
      <c r="T142" s="69"/>
      <c r="U142" s="69"/>
      <c r="V142" s="69"/>
      <c r="W142" s="69"/>
      <c r="X142" s="69"/>
      <c r="Y142" s="69"/>
      <c r="Z142" s="69"/>
      <c r="AA142" s="69"/>
      <c r="AB142" s="69"/>
    </row>
    <row r="143" spans="1:28" x14ac:dyDescent="0.25">
      <c r="A143" s="101"/>
      <c r="B143" s="133"/>
      <c r="C143" s="133"/>
      <c r="D143" s="134"/>
      <c r="E143" s="234"/>
      <c r="F143" s="137"/>
      <c r="G143" s="137"/>
      <c r="H143" s="137"/>
      <c r="I143" s="137"/>
      <c r="J143" s="137"/>
      <c r="K143" s="137"/>
      <c r="L143" s="137"/>
      <c r="M143" s="138"/>
      <c r="N143" s="138"/>
      <c r="O143" s="137"/>
      <c r="P143" s="137"/>
      <c r="Q143" s="384"/>
      <c r="R143" s="265"/>
      <c r="S143" s="265"/>
      <c r="T143" s="69"/>
      <c r="U143" s="69"/>
      <c r="V143" s="69"/>
      <c r="W143" s="69"/>
      <c r="X143" s="69"/>
      <c r="Y143" s="69"/>
      <c r="Z143" s="69"/>
      <c r="AA143" s="69"/>
      <c r="AB143" s="69"/>
    </row>
    <row r="144" spans="1:28" x14ac:dyDescent="0.25">
      <c r="A144" s="101"/>
      <c r="B144" s="429" t="s">
        <v>264</v>
      </c>
      <c r="C144" s="429"/>
      <c r="D144" s="430"/>
      <c r="E144" s="234"/>
      <c r="F144" s="137">
        <f>F145</f>
        <v>3.206</v>
      </c>
      <c r="G144" s="137">
        <f t="shared" ref="G144:P144" si="120">G145</f>
        <v>0.59</v>
      </c>
      <c r="H144" s="137">
        <f t="shared" si="120"/>
        <v>0.57499999999999996</v>
      </c>
      <c r="I144" s="137">
        <f t="shared" si="120"/>
        <v>0.57999999999999996</v>
      </c>
      <c r="J144" s="137">
        <f t="shared" si="120"/>
        <v>0.60699999999999998</v>
      </c>
      <c r="K144" s="137">
        <f t="shared" si="120"/>
        <v>1.0000000000000009E-2</v>
      </c>
      <c r="L144" s="137">
        <f t="shared" si="120"/>
        <v>-3.2000000000000028E-2</v>
      </c>
      <c r="M144" s="230">
        <f t="shared" si="120"/>
        <v>3</v>
      </c>
      <c r="N144" s="230">
        <f t="shared" si="120"/>
        <v>3</v>
      </c>
      <c r="O144" s="137">
        <f t="shared" si="120"/>
        <v>0.309</v>
      </c>
      <c r="P144" s="137">
        <f t="shared" si="120"/>
        <v>0.38400000000000001</v>
      </c>
      <c r="Q144" s="384">
        <v>0</v>
      </c>
      <c r="R144" s="265">
        <f t="shared" ref="R144:R145" si="121">ROUND(O144/M144/3*1000000,0)</f>
        <v>34333</v>
      </c>
      <c r="S144" s="265">
        <f t="shared" ref="S144:S145" si="122">ROUND(P144/N144/3*1000000,0)</f>
        <v>42667</v>
      </c>
      <c r="T144" s="69"/>
      <c r="U144" s="69"/>
      <c r="V144" s="69"/>
      <c r="W144" s="69"/>
      <c r="X144" s="69"/>
      <c r="Y144" s="69"/>
      <c r="Z144" s="69"/>
      <c r="AA144" s="69"/>
      <c r="AB144" s="69"/>
    </row>
    <row r="145" spans="1:28" s="132" customFormat="1" x14ac:dyDescent="0.25">
      <c r="A145" s="101" t="s">
        <v>217</v>
      </c>
      <c r="B145" s="133"/>
      <c r="C145" s="133"/>
      <c r="D145" s="134"/>
      <c r="E145" s="103" t="s">
        <v>347</v>
      </c>
      <c r="F145" s="137">
        <v>3.206</v>
      </c>
      <c r="G145" s="137">
        <v>0.59</v>
      </c>
      <c r="H145" s="137">
        <v>0.57499999999999996</v>
      </c>
      <c r="I145" s="137">
        <v>0.57999999999999996</v>
      </c>
      <c r="J145" s="129">
        <v>0.60699999999999998</v>
      </c>
      <c r="K145" s="235">
        <f>G145-I145</f>
        <v>1.0000000000000009E-2</v>
      </c>
      <c r="L145" s="399">
        <f t="shared" ref="L145" si="123">H145-J145</f>
        <v>-3.2000000000000028E-2</v>
      </c>
      <c r="M145" s="138">
        <v>3</v>
      </c>
      <c r="N145" s="138">
        <v>3</v>
      </c>
      <c r="O145" s="137">
        <v>0.309</v>
      </c>
      <c r="P145" s="137">
        <v>0.38400000000000001</v>
      </c>
      <c r="Q145" s="384">
        <v>0</v>
      </c>
      <c r="R145" s="265">
        <f t="shared" si="121"/>
        <v>34333</v>
      </c>
      <c r="S145" s="265">
        <f t="shared" si="122"/>
        <v>42667</v>
      </c>
      <c r="T145" s="131"/>
      <c r="U145" s="131"/>
      <c r="V145" s="131"/>
      <c r="W145" s="131"/>
      <c r="X145" s="131"/>
      <c r="Y145" s="131"/>
      <c r="Z145" s="131"/>
      <c r="AA145" s="131"/>
      <c r="AB145" s="131"/>
    </row>
    <row r="146" spans="1:28" s="132" customFormat="1" x14ac:dyDescent="0.25">
      <c r="A146" s="101"/>
      <c r="B146" s="133"/>
      <c r="C146" s="133"/>
      <c r="D146" s="134"/>
      <c r="E146" s="234"/>
      <c r="F146" s="135"/>
      <c r="G146" s="135"/>
      <c r="H146" s="135"/>
      <c r="I146" s="135"/>
      <c r="J146" s="135"/>
      <c r="K146" s="135"/>
      <c r="L146" s="135"/>
      <c r="M146" s="136"/>
      <c r="N146" s="136"/>
      <c r="O146" s="135"/>
      <c r="P146" s="135"/>
      <c r="Q146" s="388"/>
      <c r="R146" s="265"/>
      <c r="S146" s="265"/>
      <c r="T146" s="131"/>
      <c r="U146" s="131"/>
      <c r="V146" s="131"/>
      <c r="W146" s="131"/>
      <c r="X146" s="131"/>
      <c r="Y146" s="131"/>
      <c r="Z146" s="131"/>
      <c r="AA146" s="131"/>
      <c r="AB146" s="131"/>
    </row>
    <row r="147" spans="1:28" ht="25.5" customHeight="1" x14ac:dyDescent="0.25">
      <c r="A147" s="440" t="s">
        <v>0</v>
      </c>
      <c r="B147" s="441"/>
      <c r="C147" s="441"/>
      <c r="D147" s="442"/>
      <c r="E147" s="327"/>
      <c r="F147" s="261">
        <f t="shared" ref="F147:Q147" si="124">F148+F151</f>
        <v>97.567000000000007</v>
      </c>
      <c r="G147" s="261">
        <f t="shared" si="124"/>
        <v>21.634000000000004</v>
      </c>
      <c r="H147" s="261">
        <f t="shared" si="124"/>
        <v>21.217000000000002</v>
      </c>
      <c r="I147" s="261">
        <f t="shared" si="124"/>
        <v>20.751999999999995</v>
      </c>
      <c r="J147" s="261">
        <f t="shared" si="124"/>
        <v>20.513999999999999</v>
      </c>
      <c r="K147" s="261">
        <f t="shared" si="124"/>
        <v>0.88200000000000633</v>
      </c>
      <c r="L147" s="261">
        <f>L148+L151</f>
        <v>1.3040000000000003</v>
      </c>
      <c r="M147" s="262">
        <f t="shared" si="124"/>
        <v>54</v>
      </c>
      <c r="N147" s="262">
        <f t="shared" si="124"/>
        <v>53</v>
      </c>
      <c r="O147" s="261">
        <f t="shared" si="124"/>
        <v>4.2250000000000005</v>
      </c>
      <c r="P147" s="261">
        <f t="shared" si="124"/>
        <v>3.9429999999999996</v>
      </c>
      <c r="Q147" s="387">
        <f t="shared" si="124"/>
        <v>0</v>
      </c>
      <c r="R147" s="265">
        <f t="shared" ref="R147" si="125">ROUND(O147/M147/3*1000000,0)</f>
        <v>26080</v>
      </c>
      <c r="S147" s="265">
        <f t="shared" ref="S147" si="126">ROUND(P147/N147/3*1000000,0)</f>
        <v>24799</v>
      </c>
      <c r="T147" s="69"/>
      <c r="U147" s="69"/>
      <c r="V147" s="69"/>
      <c r="W147" s="69"/>
      <c r="X147" s="69"/>
      <c r="Y147" s="69"/>
      <c r="Z147" s="69"/>
      <c r="AA147" s="69"/>
      <c r="AB147" s="69"/>
    </row>
    <row r="148" spans="1:28" x14ac:dyDescent="0.25">
      <c r="A148" s="189"/>
      <c r="B148" s="443" t="s">
        <v>42</v>
      </c>
      <c r="C148" s="443"/>
      <c r="D148" s="444"/>
      <c r="E148" s="202"/>
      <c r="F148" s="151">
        <f t="shared" ref="F148:Q148" si="127">SUM(F149:F150)</f>
        <v>8.5</v>
      </c>
      <c r="G148" s="151">
        <f t="shared" si="127"/>
        <v>0.31500000000000006</v>
      </c>
      <c r="H148" s="151">
        <f t="shared" si="127"/>
        <v>0.30000000000000004</v>
      </c>
      <c r="I148" s="151">
        <f t="shared" si="127"/>
        <v>0.255</v>
      </c>
      <c r="J148" s="151">
        <f t="shared" si="127"/>
        <v>0.245</v>
      </c>
      <c r="K148" s="151">
        <f t="shared" si="127"/>
        <v>6.0000000000000019E-2</v>
      </c>
      <c r="L148" s="151">
        <f t="shared" si="127"/>
        <v>5.5000000000000014E-2</v>
      </c>
      <c r="M148" s="299">
        <f t="shared" si="127"/>
        <v>10</v>
      </c>
      <c r="N148" s="299">
        <f t="shared" si="127"/>
        <v>10</v>
      </c>
      <c r="O148" s="151">
        <f t="shared" si="127"/>
        <v>1.1180000000000001</v>
      </c>
      <c r="P148" s="151">
        <f t="shared" si="127"/>
        <v>1.002</v>
      </c>
      <c r="Q148" s="381">
        <f t="shared" si="127"/>
        <v>0</v>
      </c>
      <c r="R148" s="265">
        <f t="shared" ref="R148:R157" si="128">ROUND(O148/M148/3*1000000,0)</f>
        <v>37267</v>
      </c>
      <c r="S148" s="265">
        <f t="shared" ref="S148:S157" si="129">ROUND(P148/N148/3*1000000,0)</f>
        <v>33400</v>
      </c>
      <c r="T148" s="69"/>
      <c r="U148" s="69"/>
      <c r="V148" s="69"/>
      <c r="W148" s="69"/>
      <c r="X148" s="69"/>
      <c r="Y148" s="69"/>
      <c r="Z148" s="69"/>
      <c r="AA148" s="69"/>
      <c r="AB148" s="69"/>
    </row>
    <row r="149" spans="1:28" s="132" customFormat="1" x14ac:dyDescent="0.25">
      <c r="A149" s="190" t="s">
        <v>219</v>
      </c>
      <c r="B149" s="191"/>
      <c r="C149" s="191"/>
      <c r="D149" s="192"/>
      <c r="E149" s="103" t="s">
        <v>347</v>
      </c>
      <c r="F149" s="252">
        <v>8.4</v>
      </c>
      <c r="G149" s="277">
        <v>0.28000000000000003</v>
      </c>
      <c r="H149" s="277">
        <v>0.27</v>
      </c>
      <c r="I149" s="252">
        <v>0.23</v>
      </c>
      <c r="J149" s="252">
        <v>0.22</v>
      </c>
      <c r="K149" s="250">
        <f t="shared" ref="K149:K157" si="130">G149-I149</f>
        <v>5.0000000000000017E-2</v>
      </c>
      <c r="L149" s="250">
        <f t="shared" ref="L149:L157" si="131">H149-J149</f>
        <v>5.0000000000000017E-2</v>
      </c>
      <c r="M149" s="278">
        <v>6</v>
      </c>
      <c r="N149" s="278">
        <v>6</v>
      </c>
      <c r="O149" s="252">
        <v>0.88800000000000001</v>
      </c>
      <c r="P149" s="252">
        <v>0.78</v>
      </c>
      <c r="Q149" s="389">
        <v>0</v>
      </c>
      <c r="R149" s="265">
        <f t="shared" si="128"/>
        <v>49333</v>
      </c>
      <c r="S149" s="265">
        <f t="shared" si="129"/>
        <v>43333</v>
      </c>
      <c r="T149" s="131"/>
      <c r="U149" s="131"/>
      <c r="V149" s="131"/>
      <c r="W149" s="131"/>
      <c r="X149" s="131"/>
      <c r="Y149" s="131"/>
      <c r="Z149" s="131"/>
      <c r="AA149" s="131"/>
      <c r="AB149" s="131"/>
    </row>
    <row r="150" spans="1:28" ht="30.75" customHeight="1" x14ac:dyDescent="0.25">
      <c r="A150" s="454" t="s">
        <v>278</v>
      </c>
      <c r="B150" s="455"/>
      <c r="C150" s="455"/>
      <c r="D150" s="456"/>
      <c r="E150" s="103" t="s">
        <v>347</v>
      </c>
      <c r="F150" s="252">
        <v>0.1</v>
      </c>
      <c r="G150" s="277">
        <v>3.5000000000000003E-2</v>
      </c>
      <c r="H150" s="277">
        <v>0.03</v>
      </c>
      <c r="I150" s="252">
        <v>2.5000000000000001E-2</v>
      </c>
      <c r="J150" s="252">
        <v>2.5000000000000001E-2</v>
      </c>
      <c r="K150" s="250">
        <f t="shared" si="130"/>
        <v>1.0000000000000002E-2</v>
      </c>
      <c r="L150" s="250">
        <f t="shared" si="131"/>
        <v>4.9999999999999975E-3</v>
      </c>
      <c r="M150" s="278">
        <v>4</v>
      </c>
      <c r="N150" s="278">
        <v>4</v>
      </c>
      <c r="O150" s="252">
        <v>0.23</v>
      </c>
      <c r="P150" s="252">
        <v>0.222</v>
      </c>
      <c r="Q150" s="389">
        <v>0</v>
      </c>
      <c r="R150" s="265">
        <f t="shared" si="128"/>
        <v>19167</v>
      </c>
      <c r="S150" s="265">
        <f t="shared" si="129"/>
        <v>18500</v>
      </c>
      <c r="T150" s="69"/>
      <c r="U150" s="69"/>
      <c r="V150" s="69"/>
      <c r="W150" s="69"/>
      <c r="X150" s="69"/>
      <c r="Y150" s="69"/>
      <c r="Z150" s="69"/>
      <c r="AA150" s="69"/>
      <c r="AB150" s="69"/>
    </row>
    <row r="151" spans="1:28" x14ac:dyDescent="0.25">
      <c r="A151" s="190"/>
      <c r="B151" s="193" t="s">
        <v>220</v>
      </c>
      <c r="C151" s="191"/>
      <c r="D151" s="192"/>
      <c r="E151" s="202"/>
      <c r="F151" s="252">
        <f>SUM(F152:F157)</f>
        <v>89.067000000000007</v>
      </c>
      <c r="G151" s="252">
        <f t="shared" ref="G151:Q151" si="132">SUM(G152:G157)</f>
        <v>21.319000000000003</v>
      </c>
      <c r="H151" s="252">
        <f t="shared" si="132"/>
        <v>20.917000000000002</v>
      </c>
      <c r="I151" s="252">
        <f t="shared" si="132"/>
        <v>20.496999999999996</v>
      </c>
      <c r="J151" s="252">
        <f t="shared" si="132"/>
        <v>20.268999999999998</v>
      </c>
      <c r="K151" s="250">
        <f t="shared" si="130"/>
        <v>0.82200000000000628</v>
      </c>
      <c r="L151" s="250">
        <f>SUM(L152:L157)</f>
        <v>1.2490000000000003</v>
      </c>
      <c r="M151" s="300">
        <f>SUM(M152:M157)</f>
        <v>44</v>
      </c>
      <c r="N151" s="300">
        <f>SUM(N152:N157)</f>
        <v>43</v>
      </c>
      <c r="O151" s="252">
        <f t="shared" si="132"/>
        <v>3.1070000000000002</v>
      </c>
      <c r="P151" s="252">
        <f>SUM(P152:P157)</f>
        <v>2.9409999999999998</v>
      </c>
      <c r="Q151" s="389">
        <f t="shared" si="132"/>
        <v>0</v>
      </c>
      <c r="R151" s="265">
        <f t="shared" si="128"/>
        <v>23538</v>
      </c>
      <c r="S151" s="265">
        <f t="shared" si="129"/>
        <v>22798</v>
      </c>
      <c r="T151" s="69"/>
      <c r="U151" s="69"/>
      <c r="V151" s="69"/>
      <c r="W151" s="69"/>
      <c r="X151" s="69"/>
      <c r="Y151" s="69"/>
      <c r="Z151" s="69"/>
      <c r="AA151" s="69"/>
      <c r="AB151" s="69"/>
    </row>
    <row r="152" spans="1:28" ht="19.5" customHeight="1" x14ac:dyDescent="0.25">
      <c r="A152" s="454" t="s">
        <v>297</v>
      </c>
      <c r="B152" s="455"/>
      <c r="C152" s="455"/>
      <c r="D152" s="456"/>
      <c r="E152" s="103" t="s">
        <v>347</v>
      </c>
      <c r="F152" s="252">
        <v>2.0169999999999999</v>
      </c>
      <c r="G152" s="252">
        <v>7.3999999999999996E-2</v>
      </c>
      <c r="H152" s="252">
        <v>0.115</v>
      </c>
      <c r="I152" s="252">
        <v>0.63200000000000001</v>
      </c>
      <c r="J152" s="252">
        <v>0.73399999999999999</v>
      </c>
      <c r="K152" s="400">
        <f>-0.128</f>
        <v>-0.128</v>
      </c>
      <c r="L152" s="400">
        <f>-0.018</f>
        <v>-1.7999999999999999E-2</v>
      </c>
      <c r="M152" s="265">
        <v>3</v>
      </c>
      <c r="N152" s="265">
        <v>3</v>
      </c>
      <c r="O152" s="252">
        <v>0.47899999999999998</v>
      </c>
      <c r="P152" s="252">
        <v>0.44800000000000001</v>
      </c>
      <c r="Q152" s="389">
        <v>0</v>
      </c>
      <c r="R152" s="265">
        <f t="shared" si="128"/>
        <v>53222</v>
      </c>
      <c r="S152" s="265">
        <f t="shared" si="129"/>
        <v>49778</v>
      </c>
      <c r="T152" s="69"/>
      <c r="U152" s="69"/>
      <c r="V152" s="69"/>
      <c r="W152" s="69"/>
      <c r="X152" s="69"/>
      <c r="Y152" s="69"/>
      <c r="Z152" s="69"/>
      <c r="AA152" s="69"/>
      <c r="AB152" s="69"/>
    </row>
    <row r="153" spans="1:28" ht="21" customHeight="1" x14ac:dyDescent="0.25">
      <c r="A153" s="101" t="s">
        <v>239</v>
      </c>
      <c r="B153" s="133"/>
      <c r="C153" s="133"/>
      <c r="D153" s="134"/>
      <c r="E153" s="103" t="s">
        <v>347</v>
      </c>
      <c r="F153" s="253">
        <v>37.299999999999997</v>
      </c>
      <c r="G153" s="253">
        <v>10.199999999999999</v>
      </c>
      <c r="H153" s="253">
        <v>9.952</v>
      </c>
      <c r="I153" s="253">
        <v>9.1999999999999993</v>
      </c>
      <c r="J153" s="253">
        <v>9.01</v>
      </c>
      <c r="K153" s="250">
        <f t="shared" si="130"/>
        <v>1</v>
      </c>
      <c r="L153" s="250">
        <f t="shared" si="131"/>
        <v>0.94200000000000017</v>
      </c>
      <c r="M153" s="254">
        <v>4</v>
      </c>
      <c r="N153" s="254">
        <v>4</v>
      </c>
      <c r="O153" s="253">
        <v>0.3</v>
      </c>
      <c r="P153" s="253">
        <v>0.28599999999999998</v>
      </c>
      <c r="Q153" s="390">
        <v>0</v>
      </c>
      <c r="R153" s="265">
        <f t="shared" si="128"/>
        <v>25000</v>
      </c>
      <c r="S153" s="265">
        <f t="shared" si="129"/>
        <v>23833</v>
      </c>
      <c r="T153" s="69"/>
      <c r="U153" s="69"/>
      <c r="V153" s="69"/>
      <c r="W153" s="69"/>
      <c r="X153" s="69"/>
      <c r="Y153" s="69"/>
      <c r="Z153" s="69"/>
      <c r="AA153" s="69"/>
      <c r="AB153" s="69"/>
    </row>
    <row r="154" spans="1:28" ht="24" customHeight="1" x14ac:dyDescent="0.25">
      <c r="A154" s="101" t="s">
        <v>322</v>
      </c>
      <c r="B154" s="133"/>
      <c r="C154" s="133"/>
      <c r="D154" s="134"/>
      <c r="E154" s="103" t="s">
        <v>347</v>
      </c>
      <c r="F154" s="253">
        <v>13.7</v>
      </c>
      <c r="G154" s="253">
        <v>3.2</v>
      </c>
      <c r="H154" s="253">
        <v>3.12</v>
      </c>
      <c r="I154" s="253">
        <v>3.05</v>
      </c>
      <c r="J154" s="253">
        <v>3.0049999999999999</v>
      </c>
      <c r="K154" s="250">
        <f t="shared" si="130"/>
        <v>0.15000000000000036</v>
      </c>
      <c r="L154" s="250">
        <f t="shared" si="131"/>
        <v>0.11500000000000021</v>
      </c>
      <c r="M154" s="254">
        <v>2</v>
      </c>
      <c r="N154" s="254">
        <v>2</v>
      </c>
      <c r="O154" s="253">
        <v>0.15</v>
      </c>
      <c r="P154" s="253">
        <v>0.11700000000000001</v>
      </c>
      <c r="Q154" s="390">
        <v>0</v>
      </c>
      <c r="R154" s="265">
        <f t="shared" si="128"/>
        <v>25000</v>
      </c>
      <c r="S154" s="265">
        <f t="shared" si="129"/>
        <v>19500</v>
      </c>
      <c r="T154" s="69"/>
      <c r="U154" s="69"/>
      <c r="V154" s="69"/>
      <c r="W154" s="69"/>
      <c r="X154" s="69"/>
      <c r="Y154" s="69"/>
      <c r="Z154" s="69"/>
      <c r="AA154" s="69"/>
      <c r="AB154" s="69"/>
    </row>
    <row r="155" spans="1:28" ht="20.25" customHeight="1" x14ac:dyDescent="0.25">
      <c r="A155" s="101" t="s">
        <v>294</v>
      </c>
      <c r="B155" s="233"/>
      <c r="C155" s="233"/>
      <c r="D155" s="234"/>
      <c r="E155" s="103" t="s">
        <v>347</v>
      </c>
      <c r="F155" s="253">
        <v>1.1000000000000001</v>
      </c>
      <c r="G155" s="253">
        <v>0.26500000000000001</v>
      </c>
      <c r="H155" s="253">
        <v>0.25</v>
      </c>
      <c r="I155" s="253">
        <v>0.22500000000000001</v>
      </c>
      <c r="J155" s="253">
        <v>0.22</v>
      </c>
      <c r="K155" s="250">
        <f t="shared" si="130"/>
        <v>4.0000000000000008E-2</v>
      </c>
      <c r="L155" s="250">
        <f t="shared" si="131"/>
        <v>0.03</v>
      </c>
      <c r="M155" s="254">
        <v>1</v>
      </c>
      <c r="N155" s="254">
        <v>1</v>
      </c>
      <c r="O155" s="253">
        <v>5.8000000000000003E-2</v>
      </c>
      <c r="P155" s="253">
        <v>5.6000000000000001E-2</v>
      </c>
      <c r="Q155" s="390">
        <v>0</v>
      </c>
      <c r="R155" s="265">
        <f t="shared" si="128"/>
        <v>19333</v>
      </c>
      <c r="S155" s="265">
        <f t="shared" si="129"/>
        <v>18667</v>
      </c>
      <c r="T155" s="69"/>
      <c r="U155" s="69"/>
      <c r="V155" s="69"/>
      <c r="W155" s="69"/>
      <c r="X155" s="69"/>
      <c r="Y155" s="69"/>
      <c r="Z155" s="69"/>
      <c r="AA155" s="69"/>
      <c r="AB155" s="69"/>
    </row>
    <row r="156" spans="1:28" ht="21.75" customHeight="1" x14ac:dyDescent="0.25">
      <c r="A156" s="101" t="s">
        <v>314</v>
      </c>
      <c r="B156" s="233"/>
      <c r="C156" s="233"/>
      <c r="D156" s="234"/>
      <c r="E156" s="103" t="s">
        <v>347</v>
      </c>
      <c r="F156" s="253">
        <v>2.1</v>
      </c>
      <c r="G156" s="253">
        <v>0.5</v>
      </c>
      <c r="H156" s="253">
        <v>0.45</v>
      </c>
      <c r="I156" s="253">
        <v>0.43</v>
      </c>
      <c r="J156" s="253">
        <v>0.4</v>
      </c>
      <c r="K156" s="250">
        <f t="shared" si="130"/>
        <v>7.0000000000000007E-2</v>
      </c>
      <c r="L156" s="250">
        <f t="shared" si="131"/>
        <v>4.9999999999999989E-2</v>
      </c>
      <c r="M156" s="254">
        <v>2</v>
      </c>
      <c r="N156" s="254">
        <v>2</v>
      </c>
      <c r="O156" s="253">
        <v>0.14000000000000001</v>
      </c>
      <c r="P156" s="253">
        <v>0.13800000000000001</v>
      </c>
      <c r="Q156" s="390">
        <v>0</v>
      </c>
      <c r="R156" s="265">
        <f t="shared" si="128"/>
        <v>23333</v>
      </c>
      <c r="S156" s="265">
        <f t="shared" si="129"/>
        <v>23000</v>
      </c>
      <c r="T156" s="69"/>
      <c r="U156" s="69"/>
      <c r="V156" s="69"/>
      <c r="W156" s="69"/>
      <c r="X156" s="69"/>
      <c r="Y156" s="69"/>
      <c r="Z156" s="69"/>
      <c r="AA156" s="69"/>
      <c r="AB156" s="69"/>
    </row>
    <row r="157" spans="1:28" ht="23.25" customHeight="1" x14ac:dyDescent="0.25">
      <c r="A157" s="423" t="s">
        <v>295</v>
      </c>
      <c r="B157" s="424"/>
      <c r="C157" s="424"/>
      <c r="D157" s="425"/>
      <c r="E157" s="103" t="s">
        <v>347</v>
      </c>
      <c r="F157" s="253">
        <v>32.85</v>
      </c>
      <c r="G157" s="253">
        <v>7.08</v>
      </c>
      <c r="H157" s="253">
        <v>7.03</v>
      </c>
      <c r="I157" s="253">
        <v>6.96</v>
      </c>
      <c r="J157" s="253">
        <v>6.9</v>
      </c>
      <c r="K157" s="250">
        <f t="shared" si="130"/>
        <v>0.12000000000000011</v>
      </c>
      <c r="L157" s="250">
        <f t="shared" si="131"/>
        <v>0.12999999999999989</v>
      </c>
      <c r="M157" s="254">
        <v>32</v>
      </c>
      <c r="N157" s="254">
        <v>31</v>
      </c>
      <c r="O157" s="253">
        <v>1.98</v>
      </c>
      <c r="P157" s="253">
        <v>1.8959999999999999</v>
      </c>
      <c r="Q157" s="390">
        <v>0</v>
      </c>
      <c r="R157" s="265">
        <f t="shared" si="128"/>
        <v>20625</v>
      </c>
      <c r="S157" s="265">
        <f t="shared" si="129"/>
        <v>20387</v>
      </c>
      <c r="T157" s="69"/>
      <c r="U157" s="69"/>
      <c r="V157" s="69"/>
      <c r="W157" s="69"/>
      <c r="X157" s="69"/>
      <c r="Y157" s="69"/>
      <c r="Z157" s="69"/>
      <c r="AA157" s="69"/>
      <c r="AB157" s="69"/>
    </row>
    <row r="158" spans="1:28" ht="55.5" customHeight="1" x14ac:dyDescent="0.25">
      <c r="A158" s="449" t="s">
        <v>291</v>
      </c>
      <c r="B158" s="449"/>
      <c r="C158" s="449"/>
      <c r="D158" s="449"/>
      <c r="E158" s="330"/>
      <c r="F158" s="257"/>
      <c r="G158" s="257"/>
      <c r="H158" s="257"/>
      <c r="I158" s="257"/>
      <c r="J158" s="257"/>
      <c r="K158" s="257"/>
      <c r="L158" s="257"/>
      <c r="M158" s="263">
        <f>116+105+45+95</f>
        <v>361</v>
      </c>
      <c r="N158" s="263">
        <f>97+125+43+104</f>
        <v>369</v>
      </c>
      <c r="O158" s="257">
        <f>26.713+17.076+7.31+27.144</f>
        <v>78.242999999999995</v>
      </c>
      <c r="P158" s="257">
        <f>27.579+20.652+6.35+26.74</f>
        <v>81.320999999999998</v>
      </c>
      <c r="Q158" s="382">
        <f>0+0+0+0.594</f>
        <v>0.59399999999999997</v>
      </c>
      <c r="R158" s="265">
        <f t="shared" ref="R158:R159" si="133">ROUND(O158/M158/3*1000000,0)</f>
        <v>72247</v>
      </c>
      <c r="S158" s="265">
        <f t="shared" ref="S158:S159" si="134">ROUND(P158/N158/3*1000000,0)</f>
        <v>73461</v>
      </c>
      <c r="T158" s="69"/>
      <c r="U158" s="69"/>
      <c r="V158" s="69"/>
      <c r="W158" s="69"/>
      <c r="X158" s="69"/>
      <c r="Y158" s="69"/>
      <c r="Z158" s="69"/>
      <c r="AA158" s="69"/>
      <c r="AB158" s="69"/>
    </row>
    <row r="159" spans="1:28" ht="45.75" customHeight="1" x14ac:dyDescent="0.25">
      <c r="A159" s="450" t="s">
        <v>298</v>
      </c>
      <c r="B159" s="450"/>
      <c r="C159" s="450"/>
      <c r="D159" s="450"/>
      <c r="E159" s="324"/>
      <c r="F159" s="264"/>
      <c r="G159" s="252"/>
      <c r="H159" s="252"/>
      <c r="I159" s="252"/>
      <c r="J159" s="252"/>
      <c r="K159" s="252"/>
      <c r="L159" s="252"/>
      <c r="M159" s="265">
        <f>1060+60+26+36</f>
        <v>1182</v>
      </c>
      <c r="N159" s="265">
        <f>1057+66+26+36</f>
        <v>1185</v>
      </c>
      <c r="O159" s="252">
        <f>207.245+9.162+4.823+7.655</f>
        <v>228.88500000000002</v>
      </c>
      <c r="P159" s="252">
        <f>184.065+9.133+4.033+5.957</f>
        <v>203.18799999999999</v>
      </c>
      <c r="Q159" s="389">
        <f>0+0+0+0</f>
        <v>0</v>
      </c>
      <c r="R159" s="265">
        <f t="shared" si="133"/>
        <v>64547</v>
      </c>
      <c r="S159" s="265">
        <f t="shared" si="134"/>
        <v>57156</v>
      </c>
      <c r="T159" s="69"/>
      <c r="U159" s="69"/>
      <c r="V159" s="69"/>
      <c r="W159" s="69"/>
      <c r="X159" s="69"/>
      <c r="Y159" s="69"/>
      <c r="Z159" s="69"/>
      <c r="AA159" s="69"/>
      <c r="AB159" s="69"/>
    </row>
    <row r="160" spans="1:28" ht="36" customHeight="1" x14ac:dyDescent="0.25">
      <c r="A160" s="451" t="s">
        <v>273</v>
      </c>
      <c r="B160" s="452"/>
      <c r="C160" s="452"/>
      <c r="D160" s="453"/>
      <c r="E160" s="331"/>
      <c r="F160" s="264"/>
      <c r="G160" s="252"/>
      <c r="H160" s="252"/>
      <c r="I160" s="252"/>
      <c r="J160" s="252"/>
      <c r="K160" s="252"/>
      <c r="L160" s="252"/>
      <c r="M160" s="265">
        <f>28+22+62</f>
        <v>112</v>
      </c>
      <c r="N160" s="265">
        <f>28+22+62</f>
        <v>112</v>
      </c>
      <c r="O160" s="252">
        <f>4.944+3.935+11.64</f>
        <v>20.518999999999998</v>
      </c>
      <c r="P160" s="252">
        <f>4.741+3.709+11.584</f>
        <v>20.033999999999999</v>
      </c>
      <c r="Q160" s="389">
        <v>0</v>
      </c>
      <c r="R160" s="265">
        <f t="shared" ref="R160" si="135">ROUND(O160/M160/3*1000000,0)</f>
        <v>61068</v>
      </c>
      <c r="S160" s="265">
        <f t="shared" ref="S160" si="136">ROUND(P160/N160/3*1000000,0)</f>
        <v>59625</v>
      </c>
      <c r="T160" s="69"/>
      <c r="U160" s="69"/>
      <c r="V160" s="69"/>
      <c r="W160" s="69"/>
      <c r="X160" s="69"/>
      <c r="Y160" s="69"/>
      <c r="Z160" s="69"/>
      <c r="AA160" s="69"/>
      <c r="AB160" s="69"/>
    </row>
    <row r="161" spans="1:28" ht="43.5" customHeight="1" x14ac:dyDescent="0.25">
      <c r="A161" s="450" t="s">
        <v>315</v>
      </c>
      <c r="B161" s="450"/>
      <c r="C161" s="450"/>
      <c r="D161" s="450"/>
      <c r="E161" s="324"/>
      <c r="F161" s="252"/>
      <c r="G161" s="252"/>
      <c r="H161" s="252"/>
      <c r="I161" s="252"/>
      <c r="J161" s="252"/>
      <c r="K161" s="252"/>
      <c r="L161" s="252"/>
      <c r="M161" s="322">
        <f>275+11+89+7+5</f>
        <v>387</v>
      </c>
      <c r="N161" s="322">
        <f>269+11+89+7+5</f>
        <v>381</v>
      </c>
      <c r="O161" s="252">
        <f>56.66+1.843+15.954+1.279+0.52</f>
        <v>76.255999999999986</v>
      </c>
      <c r="P161" s="252">
        <f>52.116+1.642+15.371+1.395+0.467</f>
        <v>70.991</v>
      </c>
      <c r="Q161" s="389">
        <f>0+0+0.137+0+0</f>
        <v>0.13700000000000001</v>
      </c>
      <c r="R161" s="265">
        <f t="shared" ref="R161" si="137">ROUND(O161/M161/3*1000000,0)</f>
        <v>65681</v>
      </c>
      <c r="S161" s="265">
        <f t="shared" ref="S161" si="138">ROUND(P161/N161/3*1000000,0)</f>
        <v>62109</v>
      </c>
      <c r="T161" s="69"/>
      <c r="U161" s="69"/>
      <c r="V161" s="69"/>
      <c r="W161" s="69"/>
      <c r="X161" s="69"/>
      <c r="Y161" s="69"/>
      <c r="Z161" s="69"/>
      <c r="AA161" s="69"/>
      <c r="AB161" s="69"/>
    </row>
    <row r="162" spans="1:28" ht="44.25" customHeight="1" x14ac:dyDescent="0.25">
      <c r="A162" s="459" t="s">
        <v>279</v>
      </c>
      <c r="B162" s="459"/>
      <c r="C162" s="459"/>
      <c r="D162" s="459"/>
      <c r="E162" s="395"/>
      <c r="F162" s="396"/>
      <c r="G162" s="396"/>
      <c r="H162" s="396"/>
      <c r="I162" s="396"/>
      <c r="J162" s="396"/>
      <c r="K162" s="396"/>
      <c r="L162" s="396"/>
      <c r="M162" s="392">
        <f>38+34+68+30+13+896</f>
        <v>1079</v>
      </c>
      <c r="N162" s="265">
        <f>37+34+40+29+13+896</f>
        <v>1049</v>
      </c>
      <c r="O162" s="396">
        <f>8.7+5.803+10.628+5.529+2.536+57.99</f>
        <v>91.186000000000007</v>
      </c>
      <c r="P162" s="252">
        <f>8.465+5.196+6.626+5.669+2.057+57.023</f>
        <v>85.036000000000001</v>
      </c>
      <c r="Q162" s="397">
        <f>0+0+0+0.04+0</f>
        <v>0.04</v>
      </c>
      <c r="R162" s="265">
        <f t="shared" ref="R162" si="139">ROUND(O162/M162/3*1000000,0)</f>
        <v>28170</v>
      </c>
      <c r="S162" s="265">
        <f t="shared" ref="S162" si="140">ROUND(P162/N162/3*1000000,0)</f>
        <v>27021</v>
      </c>
      <c r="T162" s="69"/>
      <c r="U162" s="69"/>
      <c r="V162" s="69"/>
      <c r="W162" s="69"/>
      <c r="X162" s="69"/>
      <c r="Y162" s="69"/>
      <c r="Z162" s="69"/>
      <c r="AA162" s="69"/>
      <c r="AB162" s="69"/>
    </row>
    <row r="163" spans="1:28" ht="29.25" customHeight="1" x14ac:dyDescent="0.25">
      <c r="A163" s="445" t="s">
        <v>172</v>
      </c>
      <c r="B163" s="445"/>
      <c r="C163" s="445"/>
      <c r="D163" s="445"/>
      <c r="E163" s="398"/>
      <c r="F163" s="137">
        <f>F9+F61+F86+F92+F98+F124+F134+F140+F147+F158+F159+F160+F161+F162</f>
        <v>3296.4920000000002</v>
      </c>
      <c r="G163" s="137">
        <f>G9+G61+G86+G92+G98+G124+G134+G140+G147+G158+G159+G160+G161+G162</f>
        <v>751.33299999999997</v>
      </c>
      <c r="H163" s="137">
        <f>H9+H61+H86+H92+H98+H124+H134+H140+H147+H158+H159+H160+H161+H162</f>
        <v>732.86500000000001</v>
      </c>
      <c r="I163" s="137">
        <f>I9+I61+I86+I92+I98+I124+I134+I140+I147+I158+I159+I160+I161+I162</f>
        <v>742.09899999999993</v>
      </c>
      <c r="J163" s="137">
        <f>J9+J61+J86+J92+J98+J124+J134+J140+J147+J158+J159+J160+J161+J162</f>
        <v>720.98519999999996</v>
      </c>
      <c r="K163" s="137">
        <f>K9+K61+K86+K92+K98+K124+K134+K140+K147+K158+K159+K160+K161+K162</f>
        <v>7.6180000000000287</v>
      </c>
      <c r="L163" s="137">
        <f>L9+L61+L86+L92+L98+L124+L134+L140+L147</f>
        <v>9.1277999999999828</v>
      </c>
      <c r="M163" s="230">
        <f>M9+M61+M86+M92+M98+M124+M134+M140+M147+M158+M159+M160+M161+M162</f>
        <v>4004</v>
      </c>
      <c r="N163" s="230">
        <f>N9+N61+N86+N92+N98+N124+N134+N140+N147+N158+N159+N160+N161+N162</f>
        <v>3994</v>
      </c>
      <c r="O163" s="137">
        <f>O9+O61+O86+O92+O98+O124+O134+O140+O147+O158+O159+O160+O161+O162</f>
        <v>578.93500000000006</v>
      </c>
      <c r="P163" s="137">
        <f>P9+P61+P86+P92+P98+P124+P134+P140+P147+P158+P159+P160+P161+P162</f>
        <v>541.673</v>
      </c>
      <c r="Q163" s="137">
        <f>Q9+Q61+Q86+Q92+Q98+Q124+Q134+Q140+Q147+Q158+Q159+Q160+Q161+Q162</f>
        <v>0.95100000000000007</v>
      </c>
      <c r="R163" s="265">
        <f>ROUND(O163/M163/3*1000000,0)</f>
        <v>48196</v>
      </c>
      <c r="S163" s="265">
        <f t="shared" ref="S163" si="141">ROUND(P163/N163/3*1000000,0)</f>
        <v>45207</v>
      </c>
      <c r="T163" s="72"/>
      <c r="U163" s="69"/>
      <c r="V163" s="69"/>
      <c r="W163" s="69"/>
      <c r="X163" s="69"/>
      <c r="Y163" s="69"/>
      <c r="Z163" s="69"/>
      <c r="AA163" s="69"/>
      <c r="AB163" s="69"/>
    </row>
    <row r="164" spans="1:28" ht="33" customHeight="1" x14ac:dyDescent="0.25">
      <c r="A164" s="69"/>
      <c r="B164" s="69"/>
      <c r="C164" s="69"/>
      <c r="D164" s="69"/>
      <c r="E164" s="69"/>
      <c r="F164" s="69"/>
      <c r="G164" s="393">
        <f>G88+G94+G127+G142+G149+G150</f>
        <v>68.793000000000006</v>
      </c>
      <c r="H164" s="393">
        <f>H88+H94+H127+H142+H149+H150</f>
        <v>57.015000000000001</v>
      </c>
      <c r="I164" s="69"/>
      <c r="J164" s="69"/>
      <c r="K164" s="393">
        <f>K88+K94+K126+K127+K152</f>
        <v>-11.717999999999993</v>
      </c>
      <c r="L164" s="393">
        <f>L77+L88+L94+L126+L127+L145+L152</f>
        <v>-10.034000000000002</v>
      </c>
      <c r="M164" s="404">
        <f>M88+M94+M127+M142+M149+M150</f>
        <v>229</v>
      </c>
      <c r="N164" s="404">
        <f>N88+N94+N127+N142+N149+N150</f>
        <v>228</v>
      </c>
      <c r="O164" s="394"/>
      <c r="P164" s="394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</row>
    <row r="165" spans="1:28" ht="33" customHeight="1" x14ac:dyDescent="0.25">
      <c r="A165" s="69"/>
      <c r="B165" s="69"/>
      <c r="C165" s="69"/>
      <c r="D165" s="69"/>
      <c r="E165" s="69"/>
      <c r="F165" s="69"/>
      <c r="G165" s="393">
        <f>G163-G164</f>
        <v>682.54</v>
      </c>
      <c r="H165" s="393">
        <f>H163-H164</f>
        <v>675.85</v>
      </c>
      <c r="I165" s="69"/>
      <c r="J165" s="69"/>
      <c r="K165" s="69"/>
      <c r="L165" s="69"/>
      <c r="M165" s="393">
        <f>M163-M164-3121+896</f>
        <v>1550</v>
      </c>
      <c r="N165" s="393">
        <f>N163-N164-3096+896</f>
        <v>1566</v>
      </c>
      <c r="O165" s="394"/>
      <c r="P165" s="394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</row>
    <row r="166" spans="1:28" ht="81.599999999999994" customHeight="1" x14ac:dyDescent="0.25">
      <c r="A166" s="439" t="s">
        <v>195</v>
      </c>
      <c r="B166" s="439"/>
      <c r="C166" s="439"/>
      <c r="D166" s="439"/>
      <c r="E166" s="439"/>
      <c r="F166" s="439"/>
      <c r="G166" s="439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</row>
    <row r="167" spans="1:28" x14ac:dyDescent="0.25">
      <c r="A167" s="70"/>
      <c r="B167" s="70"/>
      <c r="C167" s="70"/>
      <c r="D167" s="70"/>
      <c r="E167" s="70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</row>
    <row r="168" spans="1:28" x14ac:dyDescent="0.25">
      <c r="A168" s="70"/>
      <c r="B168" s="70"/>
      <c r="C168" s="70"/>
      <c r="D168" s="70"/>
      <c r="E168" s="70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</row>
    <row r="169" spans="1:28" x14ac:dyDescent="0.25">
      <c r="A169" s="70"/>
      <c r="B169" s="70"/>
      <c r="C169" s="70"/>
      <c r="D169" s="70"/>
      <c r="E169" s="70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</row>
    <row r="170" spans="1:28" x14ac:dyDescent="0.25">
      <c r="A170" s="70"/>
      <c r="B170" s="70"/>
      <c r="C170" s="70"/>
      <c r="D170" s="70"/>
      <c r="E170" s="70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</row>
    <row r="171" spans="1:28" x14ac:dyDescent="0.25">
      <c r="A171" s="70"/>
      <c r="B171" s="70"/>
      <c r="C171" s="70"/>
      <c r="D171" s="70"/>
      <c r="E171" s="70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</row>
    <row r="172" spans="1:28" x14ac:dyDescent="0.25">
      <c r="A172" s="70"/>
      <c r="B172" s="70"/>
      <c r="C172" s="70"/>
      <c r="D172" s="70"/>
      <c r="E172" s="70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</row>
    <row r="173" spans="1:28" x14ac:dyDescent="0.25">
      <c r="A173" s="70"/>
      <c r="B173" s="70"/>
      <c r="C173" s="70"/>
      <c r="D173" s="70"/>
      <c r="E173" s="70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</row>
    <row r="174" spans="1:28" x14ac:dyDescent="0.25">
      <c r="A174" s="70"/>
      <c r="B174" s="70"/>
      <c r="C174" s="70"/>
      <c r="D174" s="70"/>
      <c r="E174" s="70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</row>
    <row r="175" spans="1:28" x14ac:dyDescent="0.25">
      <c r="A175" s="70"/>
      <c r="B175" s="70"/>
      <c r="C175" s="70"/>
      <c r="D175" s="70"/>
      <c r="E175" s="70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</row>
    <row r="176" spans="1:28" x14ac:dyDescent="0.25">
      <c r="A176" s="70"/>
      <c r="B176" s="70"/>
      <c r="C176" s="70"/>
      <c r="D176" s="70"/>
      <c r="E176" s="70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</row>
    <row r="177" spans="1:28" x14ac:dyDescent="0.25">
      <c r="A177" s="70"/>
      <c r="B177" s="70"/>
      <c r="C177" s="70"/>
      <c r="D177" s="70"/>
      <c r="E177" s="70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</row>
    <row r="178" spans="1:28" x14ac:dyDescent="0.25">
      <c r="A178" s="70"/>
      <c r="B178" s="70"/>
      <c r="C178" s="70"/>
      <c r="D178" s="70"/>
      <c r="E178" s="70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</row>
  </sheetData>
  <mergeCells count="67">
    <mergeCell ref="O5:R5"/>
    <mergeCell ref="O7:P7"/>
    <mergeCell ref="E7:E8"/>
    <mergeCell ref="M7:N7"/>
    <mergeCell ref="R7:S7"/>
    <mergeCell ref="B90:D90"/>
    <mergeCell ref="A61:D61"/>
    <mergeCell ref="A132:D132"/>
    <mergeCell ref="A134:D134"/>
    <mergeCell ref="B135:D135"/>
    <mergeCell ref="B51:D51"/>
    <mergeCell ref="A52:D52"/>
    <mergeCell ref="B67:D67"/>
    <mergeCell ref="B55:D55"/>
    <mergeCell ref="B87:D87"/>
    <mergeCell ref="G7:H7"/>
    <mergeCell ref="I7:J7"/>
    <mergeCell ref="K7:L7"/>
    <mergeCell ref="A50:D50"/>
    <mergeCell ref="B14:D14"/>
    <mergeCell ref="A161:D161"/>
    <mergeCell ref="A130:D130"/>
    <mergeCell ref="A162:D162"/>
    <mergeCell ref="A71:D71"/>
    <mergeCell ref="A157:D157"/>
    <mergeCell ref="B110:D110"/>
    <mergeCell ref="A73:D73"/>
    <mergeCell ref="A98:D98"/>
    <mergeCell ref="A86:D86"/>
    <mergeCell ref="B144:D144"/>
    <mergeCell ref="B74:D74"/>
    <mergeCell ref="B81:D81"/>
    <mergeCell ref="A92:D92"/>
    <mergeCell ref="B93:D93"/>
    <mergeCell ref="B96:D96"/>
    <mergeCell ref="B137:D137"/>
    <mergeCell ref="A166:Q166"/>
    <mergeCell ref="A147:D147"/>
    <mergeCell ref="B99:D99"/>
    <mergeCell ref="A124:D124"/>
    <mergeCell ref="B125:D125"/>
    <mergeCell ref="A140:D140"/>
    <mergeCell ref="B148:D148"/>
    <mergeCell ref="A163:D163"/>
    <mergeCell ref="B141:D141"/>
    <mergeCell ref="A126:D126"/>
    <mergeCell ref="A158:D158"/>
    <mergeCell ref="A159:D159"/>
    <mergeCell ref="A160:D160"/>
    <mergeCell ref="A150:D150"/>
    <mergeCell ref="A152:D152"/>
    <mergeCell ref="B129:D129"/>
    <mergeCell ref="A3:Q3"/>
    <mergeCell ref="A9:D9"/>
    <mergeCell ref="A57:D57"/>
    <mergeCell ref="A63:D63"/>
    <mergeCell ref="B62:D62"/>
    <mergeCell ref="B64:D64"/>
    <mergeCell ref="A65:D65"/>
    <mergeCell ref="A53:D53"/>
    <mergeCell ref="A58:D58"/>
    <mergeCell ref="A4:R4"/>
    <mergeCell ref="A10:D10"/>
    <mergeCell ref="B11:D11"/>
    <mergeCell ref="A7:D8"/>
    <mergeCell ref="G6:L6"/>
    <mergeCell ref="M6:P6"/>
  </mergeCells>
  <phoneticPr fontId="18" type="noConversion"/>
  <printOptions horizontalCentered="1"/>
  <pageMargins left="0.39370078740157483" right="0.39370078740157483" top="0.39370078740157483" bottom="0.39370078740157483" header="0" footer="0"/>
  <pageSetup paperSize="9" scale="42" fitToHeight="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521"/>
  <sheetViews>
    <sheetView view="pageBreakPreview" topLeftCell="A53" zoomScale="45" zoomScaleNormal="60" zoomScaleSheetLayoutView="45" workbookViewId="0">
      <selection activeCell="E57" sqref="E57"/>
    </sheetView>
  </sheetViews>
  <sheetFormatPr defaultRowHeight="12.75" x14ac:dyDescent="0.2"/>
  <cols>
    <col min="1" max="1" width="94.28515625" customWidth="1"/>
    <col min="2" max="2" width="31.7109375" customWidth="1"/>
    <col min="3" max="3" width="24.28515625" customWidth="1"/>
    <col min="4" max="4" width="21.85546875" customWidth="1"/>
    <col min="5" max="5" width="33.140625" customWidth="1"/>
    <col min="6" max="6" width="24.140625" customWidth="1"/>
    <col min="7" max="7" width="27.7109375" customWidth="1"/>
    <col min="8" max="8" width="25.42578125" customWidth="1"/>
    <col min="9" max="9" width="30.7109375" customWidth="1"/>
  </cols>
  <sheetData>
    <row r="1" spans="1:23" ht="26.25" x14ac:dyDescent="0.2">
      <c r="F1" s="73"/>
      <c r="G1" s="73"/>
      <c r="H1" s="73"/>
      <c r="I1" s="89" t="s">
        <v>167</v>
      </c>
      <c r="J1" s="73"/>
    </row>
    <row r="2" spans="1:23" ht="64.5" customHeight="1" x14ac:dyDescent="0.2">
      <c r="A2" s="475" t="s">
        <v>199</v>
      </c>
      <c r="B2" s="475"/>
      <c r="C2" s="475"/>
      <c r="D2" s="475"/>
      <c r="E2" s="475"/>
      <c r="F2" s="475"/>
      <c r="G2" s="475"/>
      <c r="H2" s="475"/>
      <c r="I2" s="475"/>
    </row>
    <row r="3" spans="1:23" ht="20.25" customHeight="1" x14ac:dyDescent="0.2">
      <c r="A3" s="476" t="s">
        <v>44</v>
      </c>
      <c r="B3" s="476"/>
      <c r="C3" s="476"/>
      <c r="D3" s="476"/>
      <c r="E3" s="476"/>
      <c r="F3" s="476"/>
      <c r="G3" s="476"/>
      <c r="H3" s="476"/>
      <c r="I3" s="476"/>
    </row>
    <row r="4" spans="1:23" x14ac:dyDescent="0.2">
      <c r="B4" s="26"/>
    </row>
    <row r="5" spans="1:23" ht="97.5" customHeight="1" x14ac:dyDescent="0.25">
      <c r="A5" s="477" t="s">
        <v>72</v>
      </c>
      <c r="B5" s="478" t="s">
        <v>1</v>
      </c>
      <c r="C5" s="480" t="s">
        <v>45</v>
      </c>
      <c r="D5" s="481"/>
      <c r="E5" s="482"/>
      <c r="F5" s="489" t="s">
        <v>46</v>
      </c>
      <c r="G5" s="489" t="s">
        <v>47</v>
      </c>
      <c r="H5" s="489"/>
      <c r="I5" s="490" t="s">
        <v>169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5.75" customHeight="1" x14ac:dyDescent="0.25">
      <c r="A6" s="477"/>
      <c r="B6" s="478"/>
      <c r="C6" s="483"/>
      <c r="D6" s="484"/>
      <c r="E6" s="485"/>
      <c r="F6" s="489"/>
      <c r="G6" s="472" t="s">
        <v>48</v>
      </c>
      <c r="H6" s="472" t="s">
        <v>49</v>
      </c>
      <c r="I6" s="491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5.75" customHeight="1" x14ac:dyDescent="0.25">
      <c r="A7" s="477"/>
      <c r="B7" s="479"/>
      <c r="C7" s="486"/>
      <c r="D7" s="487"/>
      <c r="E7" s="488"/>
      <c r="F7" s="489"/>
      <c r="G7" s="473"/>
      <c r="H7" s="473"/>
      <c r="I7" s="491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105" x14ac:dyDescent="0.25">
      <c r="A8" s="477"/>
      <c r="B8" s="479"/>
      <c r="C8" s="94" t="s">
        <v>4</v>
      </c>
      <c r="D8" s="94" t="s">
        <v>50</v>
      </c>
      <c r="E8" s="94" t="s">
        <v>51</v>
      </c>
      <c r="F8" s="489"/>
      <c r="G8" s="474"/>
      <c r="H8" s="474"/>
      <c r="I8" s="492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52.5" x14ac:dyDescent="0.25">
      <c r="A9" s="95" t="s">
        <v>52</v>
      </c>
      <c r="B9" s="96" t="s">
        <v>53</v>
      </c>
      <c r="C9" s="97">
        <v>1</v>
      </c>
      <c r="D9" s="97">
        <v>2</v>
      </c>
      <c r="E9" s="97">
        <v>3</v>
      </c>
      <c r="F9" s="97">
        <v>4</v>
      </c>
      <c r="G9" s="98">
        <v>5</v>
      </c>
      <c r="H9" s="98">
        <v>6</v>
      </c>
      <c r="I9" s="307" t="s">
        <v>73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27" x14ac:dyDescent="0.35">
      <c r="A10" s="498" t="s">
        <v>54</v>
      </c>
      <c r="B10" s="499"/>
      <c r="C10" s="499"/>
      <c r="D10" s="499"/>
      <c r="E10" s="499"/>
      <c r="F10" s="499"/>
      <c r="G10" s="499"/>
      <c r="H10" s="499"/>
      <c r="I10" s="499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27" x14ac:dyDescent="0.25">
      <c r="A11" s="506" t="s">
        <v>299</v>
      </c>
      <c r="B11" s="507"/>
      <c r="C11" s="507"/>
      <c r="D11" s="507"/>
      <c r="E11" s="507"/>
      <c r="F11" s="507"/>
      <c r="G11" s="507"/>
      <c r="H11" s="507"/>
      <c r="I11" s="507"/>
      <c r="J11" s="308"/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308"/>
      <c r="V11" s="27"/>
      <c r="W11" s="27"/>
    </row>
    <row r="12" spans="1:23" ht="27" x14ac:dyDescent="0.35">
      <c r="A12" s="309" t="s">
        <v>300</v>
      </c>
      <c r="B12" s="306"/>
      <c r="C12" s="306"/>
      <c r="D12" s="306"/>
      <c r="E12" s="306"/>
      <c r="F12" s="306"/>
      <c r="G12" s="306"/>
      <c r="H12" s="306"/>
      <c r="I12" s="306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3" ht="26.25" x14ac:dyDescent="0.4">
      <c r="A13" s="310" t="s">
        <v>301</v>
      </c>
      <c r="B13" s="311"/>
      <c r="C13" s="311" t="s">
        <v>55</v>
      </c>
      <c r="D13" s="312"/>
      <c r="E13" s="312"/>
      <c r="F13" s="313">
        <v>324.39999999999998</v>
      </c>
      <c r="G13" s="312"/>
      <c r="H13" s="312"/>
      <c r="I13" s="313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 ht="26.25" x14ac:dyDescent="0.4">
      <c r="A14" s="310" t="s">
        <v>302</v>
      </c>
      <c r="B14" s="311"/>
      <c r="C14" s="311" t="s">
        <v>55</v>
      </c>
      <c r="D14" s="314">
        <v>0.37</v>
      </c>
      <c r="E14" s="314">
        <v>1.214</v>
      </c>
      <c r="F14" s="313">
        <v>301.42</v>
      </c>
      <c r="G14" s="116">
        <f>F14*D14</f>
        <v>111.5254</v>
      </c>
      <c r="H14" s="116">
        <f t="shared" ref="H14:H15" si="0">E14*F14</f>
        <v>365.92388</v>
      </c>
      <c r="I14" s="318">
        <f t="shared" ref="I14:I15" si="1">G14/H14*100</f>
        <v>30.477759472817134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1:23" ht="26.25" x14ac:dyDescent="0.4">
      <c r="A15" s="310" t="s">
        <v>303</v>
      </c>
      <c r="B15" s="311"/>
      <c r="C15" s="311" t="s">
        <v>55</v>
      </c>
      <c r="D15" s="314">
        <v>1.829</v>
      </c>
      <c r="E15" s="314">
        <v>4.524</v>
      </c>
      <c r="F15" s="313">
        <v>168.3</v>
      </c>
      <c r="G15" s="116">
        <f>F15*D15</f>
        <v>307.82069999999999</v>
      </c>
      <c r="H15" s="116">
        <f t="shared" si="0"/>
        <v>761.38920000000007</v>
      </c>
      <c r="I15" s="318">
        <f t="shared" si="1"/>
        <v>40.4288240495137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1:23" ht="27" x14ac:dyDescent="0.35">
      <c r="A16" s="305"/>
      <c r="B16" s="306"/>
      <c r="C16" s="306"/>
      <c r="D16" s="306"/>
      <c r="E16" s="306"/>
      <c r="F16" s="306"/>
      <c r="G16" s="306"/>
      <c r="H16" s="306"/>
      <c r="I16" s="306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27" x14ac:dyDescent="0.35">
      <c r="A17" s="305"/>
      <c r="B17" s="306"/>
      <c r="C17" s="306"/>
      <c r="D17" s="306"/>
      <c r="E17" s="306"/>
      <c r="F17" s="306"/>
      <c r="G17" s="306"/>
      <c r="H17" s="306"/>
      <c r="I17" s="306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ht="27" x14ac:dyDescent="0.2">
      <c r="A18" s="500" t="s">
        <v>80</v>
      </c>
      <c r="B18" s="501"/>
      <c r="C18" s="501"/>
      <c r="D18" s="501"/>
      <c r="E18" s="501"/>
      <c r="F18" s="501"/>
      <c r="G18" s="501"/>
      <c r="H18" s="501"/>
      <c r="I18" s="502"/>
    </row>
    <row r="19" spans="1:23" ht="78.75" hidden="1" customHeight="1" x14ac:dyDescent="0.4">
      <c r="A19" s="33" t="s">
        <v>82</v>
      </c>
      <c r="B19" s="34" t="s">
        <v>115</v>
      </c>
      <c r="C19" s="30" t="s">
        <v>56</v>
      </c>
      <c r="D19" s="30"/>
      <c r="E19" s="30"/>
      <c r="F19" s="57">
        <v>110.7</v>
      </c>
      <c r="G19" s="32"/>
      <c r="H19" s="32"/>
      <c r="I19" s="46"/>
    </row>
    <row r="20" spans="1:23" ht="26.25" x14ac:dyDescent="0.4">
      <c r="A20" s="316" t="s">
        <v>307</v>
      </c>
      <c r="B20" s="34"/>
      <c r="C20" s="30"/>
      <c r="D20" s="30"/>
      <c r="E20" s="30"/>
      <c r="F20" s="57"/>
      <c r="G20" s="32"/>
      <c r="H20" s="32"/>
      <c r="I20" s="46"/>
    </row>
    <row r="21" spans="1:23" ht="26.25" x14ac:dyDescent="0.4">
      <c r="A21" s="33" t="s">
        <v>304</v>
      </c>
      <c r="B21" s="315"/>
      <c r="C21" s="315" t="s">
        <v>56</v>
      </c>
      <c r="D21" s="30">
        <f>98+12.3+0.7+44.5</f>
        <v>155.5</v>
      </c>
      <c r="E21" s="30">
        <f>96.3+11.7+0.8 +45</f>
        <v>153.80000000000001</v>
      </c>
      <c r="F21" s="35">
        <v>25.08</v>
      </c>
      <c r="G21" s="116">
        <f>F21*D21</f>
        <v>3899.9399999999996</v>
      </c>
      <c r="H21" s="116">
        <f t="shared" ref="H21:H22" si="2">E21*F21</f>
        <v>3857.3040000000001</v>
      </c>
      <c r="I21" s="318">
        <f>G21/H21*100</f>
        <v>101.10533159947983</v>
      </c>
    </row>
    <row r="22" spans="1:23" ht="55.5" customHeight="1" x14ac:dyDescent="0.4">
      <c r="A22" s="33" t="s">
        <v>305</v>
      </c>
      <c r="B22" s="315"/>
      <c r="C22" s="315" t="s">
        <v>56</v>
      </c>
      <c r="D22" s="30">
        <f>0.43+0.2+1.15</f>
        <v>1.7799999999999998</v>
      </c>
      <c r="E22" s="30">
        <f>1.2+0.3+1.2</f>
        <v>2.7</v>
      </c>
      <c r="F22" s="35">
        <v>97.04</v>
      </c>
      <c r="G22" s="116">
        <f t="shared" ref="G22" si="3">F22*D22</f>
        <v>172.7312</v>
      </c>
      <c r="H22" s="116">
        <f t="shared" si="2"/>
        <v>262.00800000000004</v>
      </c>
      <c r="I22" s="318">
        <f>G22/H22*100</f>
        <v>65.925925925925924</v>
      </c>
    </row>
    <row r="23" spans="1:23" ht="35.25" customHeight="1" x14ac:dyDescent="0.4">
      <c r="A23" s="33" t="s">
        <v>83</v>
      </c>
      <c r="B23" s="34" t="s">
        <v>116</v>
      </c>
      <c r="C23" s="30" t="s">
        <v>56</v>
      </c>
      <c r="D23" s="30"/>
      <c r="E23" s="30"/>
      <c r="F23" s="57">
        <v>20.6</v>
      </c>
      <c r="G23" s="32"/>
      <c r="H23" s="32"/>
      <c r="I23" s="46"/>
    </row>
    <row r="24" spans="1:23" ht="26.25" x14ac:dyDescent="0.4">
      <c r="A24" s="33" t="s">
        <v>84</v>
      </c>
      <c r="B24" s="34" t="s">
        <v>117</v>
      </c>
      <c r="C24" s="30" t="s">
        <v>56</v>
      </c>
      <c r="D24" s="30"/>
      <c r="E24" s="30"/>
      <c r="F24" s="57">
        <v>9.57</v>
      </c>
      <c r="G24" s="32"/>
      <c r="H24" s="32"/>
      <c r="I24" s="46"/>
    </row>
    <row r="25" spans="1:23" ht="24.75" customHeight="1" x14ac:dyDescent="0.4">
      <c r="A25" s="33" t="s">
        <v>85</v>
      </c>
      <c r="B25" s="34" t="s">
        <v>118</v>
      </c>
      <c r="C25" s="30" t="s">
        <v>56</v>
      </c>
      <c r="D25" s="30"/>
      <c r="E25" s="30"/>
      <c r="F25" s="57">
        <v>5.21</v>
      </c>
      <c r="G25" s="32"/>
      <c r="H25" s="32"/>
      <c r="I25" s="46"/>
    </row>
    <row r="26" spans="1:23" ht="26.25" x14ac:dyDescent="0.4">
      <c r="A26" s="33" t="s">
        <v>86</v>
      </c>
      <c r="B26" s="34" t="s">
        <v>119</v>
      </c>
      <c r="C26" s="30" t="s">
        <v>56</v>
      </c>
      <c r="D26" s="30"/>
      <c r="E26" s="30"/>
      <c r="F26" s="57">
        <v>7.25</v>
      </c>
      <c r="G26" s="32"/>
      <c r="H26" s="32"/>
      <c r="I26" s="46"/>
    </row>
    <row r="27" spans="1:23" ht="26.25" x14ac:dyDescent="0.4">
      <c r="A27" s="33"/>
      <c r="B27" s="34"/>
      <c r="C27" s="30"/>
      <c r="D27" s="30"/>
      <c r="E27" s="30"/>
      <c r="F27" s="57"/>
      <c r="G27" s="32"/>
      <c r="H27" s="32"/>
      <c r="I27" s="46"/>
    </row>
    <row r="28" spans="1:23" ht="52.5" x14ac:dyDescent="0.4">
      <c r="A28" s="33" t="s">
        <v>308</v>
      </c>
      <c r="B28" s="315"/>
      <c r="C28" s="315" t="s">
        <v>56</v>
      </c>
      <c r="D28" s="30"/>
      <c r="E28" s="30"/>
      <c r="F28" s="35">
        <v>187.9</v>
      </c>
      <c r="G28" s="30"/>
      <c r="H28" s="30"/>
      <c r="I28" s="46"/>
    </row>
    <row r="29" spans="1:23" ht="52.5" x14ac:dyDescent="0.4">
      <c r="A29" s="33" t="s">
        <v>306</v>
      </c>
      <c r="B29" s="315"/>
      <c r="C29" s="315" t="s">
        <v>56</v>
      </c>
      <c r="D29" s="320">
        <f>2.5+0</f>
        <v>2.5</v>
      </c>
      <c r="E29" s="320">
        <f>3+2</f>
        <v>5</v>
      </c>
      <c r="F29" s="35">
        <v>104.62</v>
      </c>
      <c r="G29" s="116">
        <f>F29*D29</f>
        <v>261.55</v>
      </c>
      <c r="H29" s="116">
        <f>E29*F29</f>
        <v>523.1</v>
      </c>
      <c r="I29" s="318">
        <f>G29/H29*100</f>
        <v>50</v>
      </c>
    </row>
    <row r="30" spans="1:23" ht="26.25" x14ac:dyDescent="0.4">
      <c r="A30" s="28" t="s">
        <v>87</v>
      </c>
      <c r="B30" s="29" t="s">
        <v>120</v>
      </c>
      <c r="C30" s="62"/>
      <c r="D30" s="62"/>
      <c r="E30" s="62"/>
      <c r="F30" s="63"/>
      <c r="G30" s="64"/>
      <c r="H30" s="64"/>
      <c r="I30" s="65"/>
    </row>
    <row r="31" spans="1:23" ht="49.5" customHeight="1" x14ac:dyDescent="0.4">
      <c r="A31" s="33" t="s">
        <v>88</v>
      </c>
      <c r="B31" s="34" t="s">
        <v>121</v>
      </c>
      <c r="C31" s="31" t="s">
        <v>148</v>
      </c>
      <c r="D31" s="30"/>
      <c r="E31" s="30"/>
      <c r="F31" s="57">
        <v>747.6</v>
      </c>
      <c r="G31" s="32"/>
      <c r="H31" s="32"/>
      <c r="I31" s="46"/>
    </row>
    <row r="32" spans="1:23" ht="52.5" x14ac:dyDescent="0.4">
      <c r="A32" s="33" t="s">
        <v>89</v>
      </c>
      <c r="B32" s="34" t="s">
        <v>122</v>
      </c>
      <c r="C32" s="31" t="s">
        <v>148</v>
      </c>
      <c r="D32" s="30"/>
      <c r="E32" s="30"/>
      <c r="F32" s="57">
        <v>134.16</v>
      </c>
      <c r="G32" s="32"/>
      <c r="H32" s="32"/>
      <c r="I32" s="46"/>
    </row>
    <row r="33" spans="1:9" ht="26.25" x14ac:dyDescent="0.4">
      <c r="A33" s="33" t="s">
        <v>90</v>
      </c>
      <c r="B33" s="34" t="s">
        <v>123</v>
      </c>
      <c r="C33" s="30" t="s">
        <v>56</v>
      </c>
      <c r="D33" s="30"/>
      <c r="E33" s="30"/>
      <c r="F33" s="57">
        <v>115.5</v>
      </c>
      <c r="G33" s="32"/>
      <c r="H33" s="32"/>
      <c r="I33" s="46"/>
    </row>
    <row r="34" spans="1:9" ht="52.5" x14ac:dyDescent="0.4">
      <c r="A34" s="33" t="s">
        <v>91</v>
      </c>
      <c r="B34" s="34" t="s">
        <v>124</v>
      </c>
      <c r="C34" s="31" t="s">
        <v>149</v>
      </c>
      <c r="D34" s="30"/>
      <c r="E34" s="30"/>
      <c r="F34" s="57">
        <v>4.7</v>
      </c>
      <c r="G34" s="32"/>
      <c r="H34" s="32"/>
      <c r="I34" s="46"/>
    </row>
    <row r="35" spans="1:9" ht="105" x14ac:dyDescent="0.4">
      <c r="A35" s="33" t="s">
        <v>92</v>
      </c>
      <c r="B35" s="34" t="s">
        <v>125</v>
      </c>
      <c r="C35" s="31" t="s">
        <v>149</v>
      </c>
      <c r="D35" s="30">
        <v>48.4</v>
      </c>
      <c r="E35" s="30">
        <v>31.4</v>
      </c>
      <c r="F35" s="57">
        <v>4.7</v>
      </c>
      <c r="G35" s="32"/>
      <c r="H35" s="32"/>
      <c r="I35" s="46"/>
    </row>
    <row r="36" spans="1:9" ht="105" x14ac:dyDescent="0.4">
      <c r="A36" s="33" t="s">
        <v>93</v>
      </c>
      <c r="B36" s="34" t="s">
        <v>126</v>
      </c>
      <c r="C36" s="31" t="s">
        <v>148</v>
      </c>
      <c r="D36" s="30">
        <f>0.3+0.2</f>
        <v>0.5</v>
      </c>
      <c r="E36" s="30">
        <f>0.35+0.3</f>
        <v>0.64999999999999991</v>
      </c>
      <c r="F36" s="57">
        <v>159</v>
      </c>
      <c r="G36" s="32"/>
      <c r="H36" s="32"/>
      <c r="I36" s="46"/>
    </row>
    <row r="37" spans="1:9" s="66" customFormat="1" ht="26.25" x14ac:dyDescent="0.4">
      <c r="A37" s="28" t="s">
        <v>94</v>
      </c>
      <c r="B37" s="29" t="s">
        <v>127</v>
      </c>
      <c r="C37" s="62"/>
      <c r="D37" s="62"/>
      <c r="E37" s="62"/>
      <c r="F37" s="63"/>
      <c r="G37" s="64"/>
      <c r="H37" s="64"/>
      <c r="I37" s="65"/>
    </row>
    <row r="38" spans="1:9" ht="23.25" customHeight="1" x14ac:dyDescent="0.4">
      <c r="A38" s="33" t="s">
        <v>95</v>
      </c>
      <c r="B38" s="34" t="s">
        <v>128</v>
      </c>
      <c r="C38" s="30" t="s">
        <v>58</v>
      </c>
      <c r="D38" s="30"/>
      <c r="E38" s="30"/>
      <c r="F38" s="57">
        <v>281.14999999999998</v>
      </c>
      <c r="G38" s="32"/>
      <c r="H38" s="32"/>
      <c r="I38" s="46"/>
    </row>
    <row r="39" spans="1:9" ht="26.25" x14ac:dyDescent="0.4">
      <c r="A39" s="33" t="s">
        <v>96</v>
      </c>
      <c r="B39" s="34" t="s">
        <v>129</v>
      </c>
      <c r="C39" s="30" t="s">
        <v>58</v>
      </c>
      <c r="D39" s="30"/>
      <c r="E39" s="30"/>
      <c r="F39" s="57">
        <v>336.52</v>
      </c>
      <c r="G39" s="32"/>
      <c r="H39" s="32"/>
      <c r="I39" s="46"/>
    </row>
    <row r="40" spans="1:9" s="66" customFormat="1" ht="28.5" customHeight="1" x14ac:dyDescent="0.4">
      <c r="A40" s="28" t="s">
        <v>97</v>
      </c>
      <c r="B40" s="29" t="s">
        <v>130</v>
      </c>
      <c r="C40" s="62"/>
      <c r="D40" s="62"/>
      <c r="E40" s="62"/>
      <c r="F40" s="65"/>
      <c r="G40" s="64"/>
      <c r="H40" s="64"/>
      <c r="I40" s="65"/>
    </row>
    <row r="41" spans="1:9" ht="78.75" x14ac:dyDescent="0.4">
      <c r="A41" s="33" t="s">
        <v>98</v>
      </c>
      <c r="B41" s="34" t="s">
        <v>131</v>
      </c>
      <c r="C41" s="30" t="s">
        <v>58</v>
      </c>
      <c r="D41" s="30"/>
      <c r="E41" s="30"/>
      <c r="F41" s="57">
        <v>626.01</v>
      </c>
      <c r="G41" s="32"/>
      <c r="H41" s="32"/>
      <c r="I41" s="46"/>
    </row>
    <row r="42" spans="1:9" ht="54.75" customHeight="1" x14ac:dyDescent="0.4">
      <c r="A42" s="33" t="s">
        <v>99</v>
      </c>
      <c r="B42" s="34" t="s">
        <v>132</v>
      </c>
      <c r="C42" s="30" t="s">
        <v>58</v>
      </c>
      <c r="D42" s="30"/>
      <c r="E42" s="30"/>
      <c r="F42" s="57">
        <v>1017.18</v>
      </c>
      <c r="G42" s="32"/>
      <c r="H42" s="32"/>
      <c r="I42" s="46"/>
    </row>
    <row r="43" spans="1:9" ht="78.75" x14ac:dyDescent="0.4">
      <c r="A43" s="33" t="s">
        <v>100</v>
      </c>
      <c r="B43" s="34" t="s">
        <v>133</v>
      </c>
      <c r="C43" s="30" t="s">
        <v>58</v>
      </c>
      <c r="D43" s="30"/>
      <c r="E43" s="30"/>
      <c r="F43" s="57">
        <v>770.02</v>
      </c>
      <c r="G43" s="32"/>
      <c r="H43" s="32"/>
      <c r="I43" s="46"/>
    </row>
    <row r="44" spans="1:9" ht="78.75" x14ac:dyDescent="0.4">
      <c r="A44" s="33" t="s">
        <v>101</v>
      </c>
      <c r="B44" s="34" t="s">
        <v>134</v>
      </c>
      <c r="C44" s="30" t="s">
        <v>58</v>
      </c>
      <c r="D44" s="30"/>
      <c r="E44" s="30"/>
      <c r="F44" s="57">
        <v>1142.23</v>
      </c>
      <c r="G44" s="32"/>
      <c r="H44" s="32"/>
      <c r="I44" s="46"/>
    </row>
    <row r="45" spans="1:9" ht="60" customHeight="1" x14ac:dyDescent="0.4">
      <c r="A45" s="33" t="s">
        <v>102</v>
      </c>
      <c r="B45" s="34" t="s">
        <v>135</v>
      </c>
      <c r="C45" s="30" t="s">
        <v>58</v>
      </c>
      <c r="D45" s="30"/>
      <c r="E45" s="30"/>
      <c r="F45" s="57">
        <v>711</v>
      </c>
      <c r="G45" s="32"/>
      <c r="H45" s="32"/>
      <c r="I45" s="46"/>
    </row>
    <row r="46" spans="1:9" ht="54" customHeight="1" x14ac:dyDescent="0.4">
      <c r="A46" s="33" t="s">
        <v>103</v>
      </c>
      <c r="B46" s="34" t="s">
        <v>136</v>
      </c>
      <c r="C46" s="30" t="s">
        <v>58</v>
      </c>
      <c r="D46" s="30"/>
      <c r="E46" s="30"/>
      <c r="F46" s="57">
        <v>193.92</v>
      </c>
      <c r="G46" s="32"/>
      <c r="H46" s="32"/>
      <c r="I46" s="46"/>
    </row>
    <row r="47" spans="1:9" ht="69" customHeight="1" x14ac:dyDescent="0.4">
      <c r="A47" s="33" t="s">
        <v>104</v>
      </c>
      <c r="B47" s="34" t="s">
        <v>137</v>
      </c>
      <c r="C47" s="30" t="s">
        <v>58</v>
      </c>
      <c r="D47" s="30"/>
      <c r="E47" s="30"/>
      <c r="F47" s="57">
        <v>388</v>
      </c>
      <c r="G47" s="32"/>
      <c r="H47" s="32"/>
      <c r="I47" s="46"/>
    </row>
    <row r="48" spans="1:9" ht="174" customHeight="1" x14ac:dyDescent="0.4">
      <c r="A48" s="33" t="s">
        <v>105</v>
      </c>
      <c r="B48" s="34" t="s">
        <v>138</v>
      </c>
      <c r="C48" s="30" t="s">
        <v>58</v>
      </c>
      <c r="D48" s="30"/>
      <c r="E48" s="30"/>
      <c r="F48" s="57">
        <v>63.16</v>
      </c>
      <c r="G48" s="32"/>
      <c r="H48" s="32"/>
      <c r="I48" s="46"/>
    </row>
    <row r="49" spans="1:9" ht="148.5" customHeight="1" x14ac:dyDescent="0.4">
      <c r="A49" s="33" t="s">
        <v>106</v>
      </c>
      <c r="B49" s="34" t="s">
        <v>139</v>
      </c>
      <c r="C49" s="30" t="s">
        <v>58</v>
      </c>
      <c r="D49" s="30"/>
      <c r="E49" s="30"/>
      <c r="F49" s="57">
        <v>166.57</v>
      </c>
      <c r="G49" s="32"/>
      <c r="H49" s="32"/>
      <c r="I49" s="46"/>
    </row>
    <row r="50" spans="1:9" ht="52.5" x14ac:dyDescent="0.4">
      <c r="A50" s="33" t="s">
        <v>107</v>
      </c>
      <c r="B50" s="34" t="s">
        <v>140</v>
      </c>
      <c r="C50" s="30" t="s">
        <v>59</v>
      </c>
      <c r="D50" s="30"/>
      <c r="E50" s="30"/>
      <c r="F50" s="57">
        <v>17</v>
      </c>
      <c r="G50" s="32"/>
      <c r="H50" s="32"/>
      <c r="I50" s="46"/>
    </row>
    <row r="51" spans="1:9" s="66" customFormat="1" ht="31.5" customHeight="1" x14ac:dyDescent="0.4">
      <c r="A51" s="28" t="s">
        <v>108</v>
      </c>
      <c r="B51" s="29" t="s">
        <v>141</v>
      </c>
      <c r="C51" s="62"/>
      <c r="D51" s="62"/>
      <c r="E51" s="62"/>
      <c r="F51" s="65"/>
      <c r="G51" s="64"/>
      <c r="H51" s="64"/>
      <c r="I51" s="65"/>
    </row>
    <row r="52" spans="1:9" ht="78.75" x14ac:dyDescent="0.4">
      <c r="A52" s="33" t="s">
        <v>109</v>
      </c>
      <c r="B52" s="34" t="s">
        <v>142</v>
      </c>
      <c r="C52" s="30" t="s">
        <v>59</v>
      </c>
      <c r="D52" s="30"/>
      <c r="E52" s="30"/>
      <c r="F52" s="57">
        <v>89.05</v>
      </c>
      <c r="G52" s="32"/>
      <c r="H52" s="32"/>
      <c r="I52" s="46"/>
    </row>
    <row r="53" spans="1:9" ht="78.75" x14ac:dyDescent="0.4">
      <c r="A53" s="33" t="s">
        <v>110</v>
      </c>
      <c r="B53" s="34" t="s">
        <v>143</v>
      </c>
      <c r="C53" s="30" t="s">
        <v>59</v>
      </c>
      <c r="D53" s="30"/>
      <c r="E53" s="30"/>
      <c r="F53" s="57">
        <v>722.03</v>
      </c>
      <c r="G53" s="32"/>
      <c r="H53" s="32"/>
      <c r="I53" s="46"/>
    </row>
    <row r="54" spans="1:9" ht="58.5" customHeight="1" x14ac:dyDescent="0.4">
      <c r="A54" s="33" t="s">
        <v>111</v>
      </c>
      <c r="B54" s="34" t="s">
        <v>144</v>
      </c>
      <c r="C54" s="30" t="s">
        <v>59</v>
      </c>
      <c r="D54" s="30"/>
      <c r="E54" s="30"/>
      <c r="F54" s="57">
        <v>89.29</v>
      </c>
      <c r="G54" s="32"/>
      <c r="H54" s="32"/>
      <c r="I54" s="46"/>
    </row>
    <row r="55" spans="1:9" ht="26.25" x14ac:dyDescent="0.4">
      <c r="A55" s="33" t="s">
        <v>112</v>
      </c>
      <c r="B55" s="34" t="s">
        <v>145</v>
      </c>
      <c r="C55" s="30" t="s">
        <v>59</v>
      </c>
      <c r="D55" s="30"/>
      <c r="E55" s="30"/>
      <c r="F55" s="57">
        <v>141.4</v>
      </c>
      <c r="G55" s="32"/>
      <c r="H55" s="32"/>
      <c r="I55" s="46"/>
    </row>
    <row r="56" spans="1:9" s="66" customFormat="1" ht="84.75" customHeight="1" x14ac:dyDescent="0.4">
      <c r="A56" s="28" t="s">
        <v>113</v>
      </c>
      <c r="B56" s="29" t="s">
        <v>146</v>
      </c>
      <c r="C56" s="62"/>
      <c r="D56" s="62"/>
      <c r="E56" s="62"/>
      <c r="F56" s="63"/>
      <c r="G56" s="64"/>
      <c r="H56" s="64"/>
      <c r="I56" s="65"/>
    </row>
    <row r="57" spans="1:9" ht="26.25" x14ac:dyDescent="0.4">
      <c r="A57" s="108" t="s">
        <v>114</v>
      </c>
      <c r="B57" s="238" t="s">
        <v>147</v>
      </c>
      <c r="C57" s="239" t="s">
        <v>55</v>
      </c>
      <c r="D57" s="239">
        <v>50.9</v>
      </c>
      <c r="E57" s="239">
        <v>32.299999999999997</v>
      </c>
      <c r="F57" s="240">
        <v>5814.27</v>
      </c>
      <c r="G57" s="241">
        <f>F57*D57</f>
        <v>295946.34299999999</v>
      </c>
      <c r="H57" s="241">
        <f>E57*F57</f>
        <v>187800.921</v>
      </c>
      <c r="I57" s="46"/>
    </row>
    <row r="58" spans="1:9" ht="27.75" x14ac:dyDescent="0.4">
      <c r="A58" s="48" t="s">
        <v>57</v>
      </c>
      <c r="B58" s="47" t="s">
        <v>71</v>
      </c>
      <c r="C58" s="36" t="s">
        <v>71</v>
      </c>
      <c r="D58" s="36" t="s">
        <v>71</v>
      </c>
      <c r="E58" s="36"/>
      <c r="F58" s="37" t="s">
        <v>71</v>
      </c>
      <c r="G58" s="116">
        <f>G57</f>
        <v>295946.34299999999</v>
      </c>
      <c r="H58" s="116">
        <f>H57</f>
        <v>187800.921</v>
      </c>
      <c r="I58" s="117">
        <f>G58/H58*100</f>
        <v>157.58513931888544</v>
      </c>
    </row>
    <row r="59" spans="1:9" ht="27" customHeight="1" x14ac:dyDescent="0.2">
      <c r="A59" s="503" t="s">
        <v>81</v>
      </c>
      <c r="B59" s="504"/>
      <c r="C59" s="504"/>
      <c r="D59" s="504"/>
      <c r="E59" s="504"/>
      <c r="F59" s="504"/>
      <c r="G59" s="504"/>
      <c r="H59" s="504"/>
      <c r="I59" s="505"/>
    </row>
    <row r="60" spans="1:9" ht="54.75" customHeight="1" x14ac:dyDescent="0.4">
      <c r="A60" s="108" t="s">
        <v>201</v>
      </c>
      <c r="B60" s="283" t="s">
        <v>202</v>
      </c>
      <c r="C60" s="248" t="s">
        <v>200</v>
      </c>
      <c r="D60" s="239">
        <v>3.5390000000000001</v>
      </c>
      <c r="E60" s="239">
        <v>3.7320000000000002</v>
      </c>
      <c r="F60" s="248">
        <v>3.5421149999999999</v>
      </c>
      <c r="G60" s="284">
        <f>D60*F60</f>
        <v>12.535544985</v>
      </c>
      <c r="H60" s="284">
        <f>E60*F60</f>
        <v>13.21917318</v>
      </c>
      <c r="I60" s="285">
        <f>G60/H60*100</f>
        <v>94.828510182207921</v>
      </c>
    </row>
    <row r="61" spans="1:9" ht="71.25" customHeight="1" x14ac:dyDescent="0.4">
      <c r="A61" s="182" t="s">
        <v>185</v>
      </c>
      <c r="B61" s="184" t="s">
        <v>71</v>
      </c>
      <c r="C61" s="185" t="s">
        <v>71</v>
      </c>
      <c r="D61" s="185" t="s">
        <v>71</v>
      </c>
      <c r="E61" s="185" t="s">
        <v>71</v>
      </c>
      <c r="F61" s="185" t="s">
        <v>71</v>
      </c>
      <c r="G61" s="183">
        <f>G58+G60</f>
        <v>295958.87854498497</v>
      </c>
      <c r="H61" s="183">
        <f>H58+H60</f>
        <v>187814.14017318</v>
      </c>
      <c r="I61" s="183">
        <f>G61/H61*100</f>
        <v>157.58072223533685</v>
      </c>
    </row>
    <row r="62" spans="1:9" ht="27" x14ac:dyDescent="0.35">
      <c r="A62" s="493" t="s">
        <v>154</v>
      </c>
      <c r="B62" s="494"/>
      <c r="C62" s="494"/>
      <c r="D62" s="494"/>
      <c r="E62" s="494"/>
      <c r="F62" s="494"/>
      <c r="G62" s="494"/>
      <c r="H62" s="494"/>
      <c r="I62" s="495"/>
    </row>
    <row r="63" spans="1:9" ht="52.5" x14ac:dyDescent="0.4">
      <c r="A63" s="115" t="s">
        <v>203</v>
      </c>
      <c r="B63" s="238" t="s">
        <v>204</v>
      </c>
      <c r="C63" s="242" t="s">
        <v>209</v>
      </c>
      <c r="D63" s="243">
        <v>138.173</v>
      </c>
      <c r="E63" s="243">
        <v>85.68</v>
      </c>
      <c r="F63" s="244">
        <v>1340.39</v>
      </c>
      <c r="G63" s="241">
        <f>D63*F63</f>
        <v>185205.70747000002</v>
      </c>
      <c r="H63" s="241">
        <f>E63*F63</f>
        <v>114844.61520000001</v>
      </c>
      <c r="I63" s="245">
        <f>G63/H63*100</f>
        <v>161.26633986928104</v>
      </c>
    </row>
    <row r="64" spans="1:9" ht="78.75" x14ac:dyDescent="0.4">
      <c r="A64" s="99" t="s">
        <v>205</v>
      </c>
      <c r="B64" s="34" t="s">
        <v>206</v>
      </c>
      <c r="C64" s="35" t="s">
        <v>209</v>
      </c>
      <c r="D64" s="30"/>
      <c r="E64" s="30"/>
      <c r="F64" s="31">
        <v>0</v>
      </c>
      <c r="G64" s="84"/>
      <c r="H64" s="84"/>
      <c r="I64" s="85"/>
    </row>
    <row r="65" spans="1:9" ht="52.5" x14ac:dyDescent="0.4">
      <c r="A65" s="99" t="s">
        <v>207</v>
      </c>
      <c r="B65" s="34" t="s">
        <v>208</v>
      </c>
      <c r="C65" s="35" t="s">
        <v>209</v>
      </c>
      <c r="D65" s="30"/>
      <c r="E65" s="30"/>
      <c r="F65" s="31">
        <v>0</v>
      </c>
      <c r="G65" s="84"/>
      <c r="H65" s="84"/>
      <c r="I65" s="85"/>
    </row>
    <row r="66" spans="1:9" ht="27.75" x14ac:dyDescent="0.4">
      <c r="A66" s="48" t="s">
        <v>57</v>
      </c>
      <c r="B66" s="47" t="s">
        <v>71</v>
      </c>
      <c r="C66" s="36" t="s">
        <v>71</v>
      </c>
      <c r="D66" s="36" t="s">
        <v>71</v>
      </c>
      <c r="E66" s="36" t="s">
        <v>71</v>
      </c>
      <c r="F66" s="37" t="s">
        <v>71</v>
      </c>
      <c r="G66" s="117">
        <f>SUM(G63:G65)</f>
        <v>185205.70747000002</v>
      </c>
      <c r="H66" s="117">
        <f>SUM(H63:H65)</f>
        <v>114844.61520000001</v>
      </c>
      <c r="I66" s="183">
        <f>G66/H66*100</f>
        <v>161.26633986928104</v>
      </c>
    </row>
    <row r="67" spans="1:9" ht="27" x14ac:dyDescent="0.35">
      <c r="A67" s="493" t="s">
        <v>192</v>
      </c>
      <c r="B67" s="494"/>
      <c r="C67" s="494"/>
      <c r="D67" s="494"/>
      <c r="E67" s="494"/>
      <c r="F67" s="494"/>
      <c r="G67" s="494"/>
      <c r="H67" s="494"/>
      <c r="I67" s="495"/>
    </row>
    <row r="68" spans="1:9" ht="26.25" x14ac:dyDescent="0.4">
      <c r="A68" s="115" t="s">
        <v>186</v>
      </c>
      <c r="B68" s="246"/>
      <c r="C68" s="243" t="s">
        <v>56</v>
      </c>
      <c r="D68" s="243">
        <v>0</v>
      </c>
      <c r="E68" s="243">
        <v>0</v>
      </c>
      <c r="F68" s="244">
        <v>9.98</v>
      </c>
      <c r="G68" s="321">
        <f>D68*F68</f>
        <v>0</v>
      </c>
      <c r="H68" s="321">
        <f>E68*F68</f>
        <v>0</v>
      </c>
      <c r="I68" s="285"/>
    </row>
    <row r="69" spans="1:9" ht="26.25" x14ac:dyDescent="0.4">
      <c r="A69" s="38" t="s">
        <v>187</v>
      </c>
      <c r="B69" s="83"/>
      <c r="C69" s="30" t="s">
        <v>56</v>
      </c>
      <c r="D69" s="30"/>
      <c r="E69" s="30"/>
      <c r="F69" s="31"/>
      <c r="G69" s="84"/>
      <c r="H69" s="84"/>
      <c r="I69" s="85"/>
    </row>
    <row r="70" spans="1:9" ht="26.25" x14ac:dyDescent="0.4">
      <c r="A70" s="38" t="s">
        <v>188</v>
      </c>
      <c r="B70" s="83"/>
      <c r="C70" s="30" t="s">
        <v>56</v>
      </c>
      <c r="D70" s="30"/>
      <c r="E70" s="30"/>
      <c r="F70" s="31"/>
      <c r="G70" s="84"/>
      <c r="H70" s="84"/>
      <c r="I70" s="85"/>
    </row>
    <row r="71" spans="1:9" ht="26.25" x14ac:dyDescent="0.4">
      <c r="A71" s="109" t="s">
        <v>189</v>
      </c>
      <c r="B71" s="247"/>
      <c r="C71" s="239" t="s">
        <v>56</v>
      </c>
      <c r="D71" s="239">
        <v>210</v>
      </c>
      <c r="E71" s="239">
        <v>135.6</v>
      </c>
      <c r="F71" s="240">
        <v>115.5</v>
      </c>
      <c r="G71" s="321">
        <f>D71*F71</f>
        <v>24255</v>
      </c>
      <c r="H71" s="321">
        <f>E71*F71</f>
        <v>15661.8</v>
      </c>
      <c r="I71" s="285">
        <f>G71/H71*100</f>
        <v>154.86725663716814</v>
      </c>
    </row>
    <row r="72" spans="1:9" ht="26.25" x14ac:dyDescent="0.4">
      <c r="A72" s="109" t="s">
        <v>190</v>
      </c>
      <c r="B72" s="247"/>
      <c r="C72" s="239" t="s">
        <v>56</v>
      </c>
      <c r="D72" s="239">
        <v>572.5</v>
      </c>
      <c r="E72" s="239">
        <v>361.5</v>
      </c>
      <c r="F72" s="240">
        <v>18.8</v>
      </c>
      <c r="G72" s="321">
        <f>D72*F72</f>
        <v>10763</v>
      </c>
      <c r="H72" s="321">
        <f>E72*F72</f>
        <v>6796.2</v>
      </c>
      <c r="I72" s="285">
        <f>G72/H72*100</f>
        <v>158.36791147994469</v>
      </c>
    </row>
    <row r="73" spans="1:9" ht="26.25" x14ac:dyDescent="0.4">
      <c r="A73" s="38" t="s">
        <v>191</v>
      </c>
      <c r="B73" s="83"/>
      <c r="C73" s="196" t="s">
        <v>60</v>
      </c>
      <c r="D73" s="196"/>
      <c r="E73" s="196"/>
      <c r="F73" s="197"/>
      <c r="G73" s="195">
        <f>SUM(G68:G72)</f>
        <v>35018</v>
      </c>
      <c r="H73" s="195">
        <f>SUM(H68:H72)</f>
        <v>22458</v>
      </c>
      <c r="I73" s="302">
        <f>G73/H73*100</f>
        <v>155.9266185768991</v>
      </c>
    </row>
    <row r="74" spans="1:9" ht="27.75" x14ac:dyDescent="0.4">
      <c r="A74" s="48" t="s">
        <v>57</v>
      </c>
      <c r="B74" s="47" t="s">
        <v>71</v>
      </c>
      <c r="C74" s="185" t="s">
        <v>71</v>
      </c>
      <c r="D74" s="185" t="s">
        <v>71</v>
      </c>
      <c r="E74" s="185" t="s">
        <v>71</v>
      </c>
      <c r="F74" s="198" t="s">
        <v>71</v>
      </c>
      <c r="G74" s="183">
        <f>SUM(G68:G72)</f>
        <v>35018</v>
      </c>
      <c r="H74" s="183">
        <f>SUM(H68:H72)</f>
        <v>22458</v>
      </c>
      <c r="I74" s="199">
        <f>G74/H74*100</f>
        <v>155.9266185768991</v>
      </c>
    </row>
    <row r="75" spans="1:9" x14ac:dyDescent="0.2">
      <c r="A75" s="39"/>
      <c r="B75" s="40"/>
      <c r="C75" s="186"/>
      <c r="D75" s="186"/>
      <c r="E75" s="186"/>
      <c r="F75" s="186"/>
      <c r="G75" s="187"/>
      <c r="H75" s="187"/>
      <c r="I75" s="187"/>
    </row>
    <row r="76" spans="1:9" ht="26.25" x14ac:dyDescent="0.4">
      <c r="A76" s="496" t="s">
        <v>193</v>
      </c>
      <c r="B76" s="496"/>
      <c r="C76" s="496"/>
      <c r="D76" s="496"/>
      <c r="E76" s="496"/>
      <c r="F76" s="496"/>
      <c r="G76" s="86"/>
      <c r="H76" s="86"/>
      <c r="I76" s="86"/>
    </row>
    <row r="77" spans="1:9" ht="26.25" x14ac:dyDescent="0.4">
      <c r="A77" s="87" t="s">
        <v>210</v>
      </c>
      <c r="B77" s="88"/>
      <c r="C77" s="87"/>
      <c r="D77" s="87"/>
      <c r="E77" s="87"/>
      <c r="F77" s="87"/>
      <c r="G77" s="86"/>
      <c r="H77" s="86"/>
      <c r="I77" s="86"/>
    </row>
    <row r="78" spans="1:9" ht="61.9" customHeight="1" x14ac:dyDescent="0.2">
      <c r="A78" s="497" t="s">
        <v>194</v>
      </c>
      <c r="B78" s="497"/>
      <c r="C78" s="497"/>
      <c r="D78" s="497"/>
      <c r="E78" s="497"/>
      <c r="F78" s="497"/>
      <c r="G78" s="497"/>
      <c r="H78" s="497"/>
      <c r="I78" s="497"/>
    </row>
    <row r="79" spans="1:9" x14ac:dyDescent="0.2">
      <c r="A79" s="39"/>
      <c r="B79" s="40"/>
      <c r="C79" s="39"/>
      <c r="D79" s="39"/>
      <c r="E79" s="39"/>
      <c r="F79" s="39"/>
    </row>
    <row r="80" spans="1:9" x14ac:dyDescent="0.2">
      <c r="A80" s="39"/>
      <c r="B80" s="40"/>
      <c r="C80" s="39"/>
      <c r="D80" s="39"/>
      <c r="E80" s="39"/>
      <c r="F80" s="39"/>
    </row>
    <row r="81" spans="1:6" x14ac:dyDescent="0.2">
      <c r="A81" s="39"/>
      <c r="B81" s="40"/>
      <c r="C81" s="39"/>
      <c r="D81" s="39"/>
      <c r="E81" s="39"/>
      <c r="F81" s="39"/>
    </row>
    <row r="82" spans="1:6" x14ac:dyDescent="0.2">
      <c r="B82" s="26"/>
    </row>
    <row r="83" spans="1:6" x14ac:dyDescent="0.2">
      <c r="B83" s="26"/>
    </row>
    <row r="84" spans="1:6" x14ac:dyDescent="0.2">
      <c r="B84" s="26"/>
    </row>
    <row r="85" spans="1:6" x14ac:dyDescent="0.2">
      <c r="B85" s="26"/>
    </row>
    <row r="86" spans="1:6" x14ac:dyDescent="0.2">
      <c r="B86" s="26"/>
    </row>
    <row r="87" spans="1:6" x14ac:dyDescent="0.2">
      <c r="B87" s="26"/>
    </row>
    <row r="88" spans="1:6" x14ac:dyDescent="0.2">
      <c r="B88" s="26"/>
    </row>
    <row r="89" spans="1:6" x14ac:dyDescent="0.2">
      <c r="B89" s="26"/>
    </row>
    <row r="90" spans="1:6" x14ac:dyDescent="0.2">
      <c r="B90" s="26"/>
    </row>
    <row r="91" spans="1:6" x14ac:dyDescent="0.2">
      <c r="B91" s="26"/>
    </row>
    <row r="92" spans="1:6" x14ac:dyDescent="0.2">
      <c r="B92" s="26"/>
    </row>
    <row r="93" spans="1:6" x14ac:dyDescent="0.2">
      <c r="B93" s="26"/>
    </row>
    <row r="94" spans="1:6" x14ac:dyDescent="0.2">
      <c r="B94" s="26"/>
    </row>
    <row r="95" spans="1:6" x14ac:dyDescent="0.2">
      <c r="B95" s="26"/>
    </row>
    <row r="96" spans="1:6" x14ac:dyDescent="0.2">
      <c r="B96" s="26"/>
    </row>
    <row r="97" spans="2:2" x14ac:dyDescent="0.2">
      <c r="B97" s="26"/>
    </row>
    <row r="98" spans="2:2" x14ac:dyDescent="0.2">
      <c r="B98" s="26"/>
    </row>
    <row r="99" spans="2:2" x14ac:dyDescent="0.2">
      <c r="B99" s="26"/>
    </row>
    <row r="100" spans="2:2" x14ac:dyDescent="0.2">
      <c r="B100" s="26"/>
    </row>
    <row r="101" spans="2:2" x14ac:dyDescent="0.2">
      <c r="B101" s="26"/>
    </row>
    <row r="102" spans="2:2" x14ac:dyDescent="0.2">
      <c r="B102" s="26"/>
    </row>
    <row r="103" spans="2:2" x14ac:dyDescent="0.2">
      <c r="B103" s="26"/>
    </row>
    <row r="104" spans="2:2" x14ac:dyDescent="0.2">
      <c r="B104" s="26"/>
    </row>
    <row r="105" spans="2:2" x14ac:dyDescent="0.2">
      <c r="B105" s="26"/>
    </row>
    <row r="106" spans="2:2" x14ac:dyDescent="0.2">
      <c r="B106" s="26"/>
    </row>
    <row r="107" spans="2:2" x14ac:dyDescent="0.2">
      <c r="B107" s="26"/>
    </row>
    <row r="108" spans="2:2" x14ac:dyDescent="0.2">
      <c r="B108" s="26"/>
    </row>
    <row r="109" spans="2:2" x14ac:dyDescent="0.2">
      <c r="B109" s="26"/>
    </row>
    <row r="110" spans="2:2" x14ac:dyDescent="0.2">
      <c r="B110" s="26"/>
    </row>
    <row r="111" spans="2:2" x14ac:dyDescent="0.2">
      <c r="B111" s="26"/>
    </row>
    <row r="112" spans="2:2" x14ac:dyDescent="0.2">
      <c r="B112" s="26"/>
    </row>
    <row r="113" spans="2:2" x14ac:dyDescent="0.2">
      <c r="B113" s="26"/>
    </row>
    <row r="114" spans="2:2" x14ac:dyDescent="0.2">
      <c r="B114" s="26"/>
    </row>
    <row r="115" spans="2:2" x14ac:dyDescent="0.2">
      <c r="B115" s="26"/>
    </row>
    <row r="116" spans="2:2" x14ac:dyDescent="0.2">
      <c r="B116" s="26"/>
    </row>
    <row r="117" spans="2:2" x14ac:dyDescent="0.2">
      <c r="B117" s="26"/>
    </row>
    <row r="118" spans="2:2" x14ac:dyDescent="0.2">
      <c r="B118" s="26"/>
    </row>
    <row r="119" spans="2:2" x14ac:dyDescent="0.2">
      <c r="B119" s="26"/>
    </row>
    <row r="120" spans="2:2" x14ac:dyDescent="0.2">
      <c r="B120" s="26"/>
    </row>
    <row r="121" spans="2:2" x14ac:dyDescent="0.2">
      <c r="B121" s="26"/>
    </row>
    <row r="122" spans="2:2" x14ac:dyDescent="0.2">
      <c r="B122" s="26"/>
    </row>
    <row r="123" spans="2:2" x14ac:dyDescent="0.2">
      <c r="B123" s="26"/>
    </row>
    <row r="124" spans="2:2" x14ac:dyDescent="0.2">
      <c r="B124" s="26"/>
    </row>
    <row r="125" spans="2:2" x14ac:dyDescent="0.2">
      <c r="B125" s="26"/>
    </row>
    <row r="126" spans="2:2" x14ac:dyDescent="0.2">
      <c r="B126" s="26"/>
    </row>
    <row r="127" spans="2:2" x14ac:dyDescent="0.2">
      <c r="B127" s="26"/>
    </row>
    <row r="128" spans="2:2" x14ac:dyDescent="0.2">
      <c r="B128" s="26"/>
    </row>
    <row r="129" spans="2:2" x14ac:dyDescent="0.2">
      <c r="B129" s="26"/>
    </row>
    <row r="130" spans="2:2" x14ac:dyDescent="0.2">
      <c r="B130" s="26"/>
    </row>
    <row r="131" spans="2:2" x14ac:dyDescent="0.2">
      <c r="B131" s="26"/>
    </row>
    <row r="132" spans="2:2" x14ac:dyDescent="0.2">
      <c r="B132" s="26"/>
    </row>
    <row r="133" spans="2:2" x14ac:dyDescent="0.2">
      <c r="B133" s="26"/>
    </row>
    <row r="134" spans="2:2" x14ac:dyDescent="0.2">
      <c r="B134" s="26"/>
    </row>
    <row r="135" spans="2:2" x14ac:dyDescent="0.2">
      <c r="B135" s="26"/>
    </row>
    <row r="136" spans="2:2" x14ac:dyDescent="0.2">
      <c r="B136" s="26"/>
    </row>
    <row r="137" spans="2:2" x14ac:dyDescent="0.2">
      <c r="B137" s="26"/>
    </row>
    <row r="138" spans="2:2" x14ac:dyDescent="0.2">
      <c r="B138" s="26"/>
    </row>
    <row r="139" spans="2:2" x14ac:dyDescent="0.2">
      <c r="B139" s="26"/>
    </row>
    <row r="140" spans="2:2" x14ac:dyDescent="0.2">
      <c r="B140" s="26"/>
    </row>
    <row r="141" spans="2:2" x14ac:dyDescent="0.2">
      <c r="B141" s="26"/>
    </row>
    <row r="142" spans="2:2" x14ac:dyDescent="0.2">
      <c r="B142" s="26"/>
    </row>
    <row r="143" spans="2:2" x14ac:dyDescent="0.2">
      <c r="B143" s="26"/>
    </row>
    <row r="144" spans="2:2" x14ac:dyDescent="0.2">
      <c r="B144" s="26"/>
    </row>
    <row r="145" spans="2:2" x14ac:dyDescent="0.2">
      <c r="B145" s="26"/>
    </row>
    <row r="146" spans="2:2" x14ac:dyDescent="0.2">
      <c r="B146" s="26"/>
    </row>
    <row r="147" spans="2:2" x14ac:dyDescent="0.2">
      <c r="B147" s="26"/>
    </row>
    <row r="148" spans="2:2" x14ac:dyDescent="0.2">
      <c r="B148" s="26"/>
    </row>
    <row r="149" spans="2:2" x14ac:dyDescent="0.2">
      <c r="B149" s="26"/>
    </row>
    <row r="150" spans="2:2" x14ac:dyDescent="0.2">
      <c r="B150" s="26"/>
    </row>
    <row r="151" spans="2:2" x14ac:dyDescent="0.2">
      <c r="B151" s="26"/>
    </row>
    <row r="152" spans="2:2" x14ac:dyDescent="0.2">
      <c r="B152" s="26"/>
    </row>
    <row r="153" spans="2:2" x14ac:dyDescent="0.2">
      <c r="B153" s="26"/>
    </row>
    <row r="154" spans="2:2" x14ac:dyDescent="0.2">
      <c r="B154" s="26"/>
    </row>
    <row r="155" spans="2:2" x14ac:dyDescent="0.2">
      <c r="B155" s="26"/>
    </row>
    <row r="156" spans="2:2" x14ac:dyDescent="0.2">
      <c r="B156" s="26"/>
    </row>
    <row r="157" spans="2:2" x14ac:dyDescent="0.2">
      <c r="B157" s="26"/>
    </row>
    <row r="158" spans="2:2" x14ac:dyDescent="0.2">
      <c r="B158" s="26"/>
    </row>
    <row r="159" spans="2:2" x14ac:dyDescent="0.2">
      <c r="B159" s="26"/>
    </row>
    <row r="160" spans="2:2" x14ac:dyDescent="0.2">
      <c r="B160" s="26"/>
    </row>
    <row r="161" spans="2:2" x14ac:dyDescent="0.2">
      <c r="B161" s="26"/>
    </row>
    <row r="162" spans="2:2" x14ac:dyDescent="0.2">
      <c r="B162" s="26"/>
    </row>
    <row r="163" spans="2:2" x14ac:dyDescent="0.2">
      <c r="B163" s="26"/>
    </row>
    <row r="164" spans="2:2" x14ac:dyDescent="0.2">
      <c r="B164" s="26"/>
    </row>
    <row r="165" spans="2:2" x14ac:dyDescent="0.2">
      <c r="B165" s="26"/>
    </row>
    <row r="166" spans="2:2" x14ac:dyDescent="0.2">
      <c r="B166" s="26"/>
    </row>
    <row r="167" spans="2:2" x14ac:dyDescent="0.2">
      <c r="B167" s="26"/>
    </row>
    <row r="168" spans="2:2" x14ac:dyDescent="0.2">
      <c r="B168" s="26"/>
    </row>
    <row r="169" spans="2:2" x14ac:dyDescent="0.2">
      <c r="B169" s="26"/>
    </row>
    <row r="170" spans="2:2" x14ac:dyDescent="0.2">
      <c r="B170" s="26"/>
    </row>
    <row r="171" spans="2:2" x14ac:dyDescent="0.2">
      <c r="B171" s="26"/>
    </row>
    <row r="172" spans="2:2" x14ac:dyDescent="0.2">
      <c r="B172" s="26"/>
    </row>
    <row r="173" spans="2:2" x14ac:dyDescent="0.2">
      <c r="B173" s="26"/>
    </row>
    <row r="174" spans="2:2" x14ac:dyDescent="0.2">
      <c r="B174" s="26"/>
    </row>
    <row r="175" spans="2:2" x14ac:dyDescent="0.2">
      <c r="B175" s="26"/>
    </row>
    <row r="176" spans="2:2" x14ac:dyDescent="0.2">
      <c r="B176" s="26"/>
    </row>
    <row r="177" spans="2:2" x14ac:dyDescent="0.2">
      <c r="B177" s="26"/>
    </row>
    <row r="178" spans="2:2" x14ac:dyDescent="0.2">
      <c r="B178" s="26"/>
    </row>
    <row r="179" spans="2:2" x14ac:dyDescent="0.2">
      <c r="B179" s="26"/>
    </row>
    <row r="180" spans="2:2" x14ac:dyDescent="0.2">
      <c r="B180" s="26"/>
    </row>
    <row r="181" spans="2:2" x14ac:dyDescent="0.2">
      <c r="B181" s="26"/>
    </row>
    <row r="182" spans="2:2" x14ac:dyDescent="0.2">
      <c r="B182" s="26"/>
    </row>
    <row r="183" spans="2:2" x14ac:dyDescent="0.2">
      <c r="B183" s="26"/>
    </row>
    <row r="184" spans="2:2" x14ac:dyDescent="0.2">
      <c r="B184" s="26"/>
    </row>
    <row r="185" spans="2:2" x14ac:dyDescent="0.2">
      <c r="B185" s="26"/>
    </row>
    <row r="186" spans="2:2" x14ac:dyDescent="0.2">
      <c r="B186" s="26"/>
    </row>
    <row r="187" spans="2:2" x14ac:dyDescent="0.2">
      <c r="B187" s="26"/>
    </row>
    <row r="188" spans="2:2" x14ac:dyDescent="0.2">
      <c r="B188" s="26"/>
    </row>
    <row r="189" spans="2:2" x14ac:dyDescent="0.2">
      <c r="B189" s="26"/>
    </row>
    <row r="190" spans="2:2" x14ac:dyDescent="0.2">
      <c r="B190" s="26"/>
    </row>
    <row r="191" spans="2:2" x14ac:dyDescent="0.2">
      <c r="B191" s="26"/>
    </row>
    <row r="192" spans="2:2" x14ac:dyDescent="0.2">
      <c r="B192" s="26"/>
    </row>
    <row r="193" spans="2:2" x14ac:dyDescent="0.2">
      <c r="B193" s="26"/>
    </row>
    <row r="194" spans="2:2" x14ac:dyDescent="0.2">
      <c r="B194" s="26"/>
    </row>
    <row r="195" spans="2:2" x14ac:dyDescent="0.2">
      <c r="B195" s="26"/>
    </row>
    <row r="196" spans="2:2" x14ac:dyDescent="0.2">
      <c r="B196" s="26"/>
    </row>
    <row r="197" spans="2:2" x14ac:dyDescent="0.2">
      <c r="B197" s="26"/>
    </row>
    <row r="198" spans="2:2" x14ac:dyDescent="0.2">
      <c r="B198" s="26"/>
    </row>
    <row r="199" spans="2:2" x14ac:dyDescent="0.2">
      <c r="B199" s="26"/>
    </row>
    <row r="200" spans="2:2" x14ac:dyDescent="0.2">
      <c r="B200" s="26"/>
    </row>
    <row r="201" spans="2:2" x14ac:dyDescent="0.2">
      <c r="B201" s="26"/>
    </row>
    <row r="202" spans="2:2" x14ac:dyDescent="0.2">
      <c r="B202" s="26"/>
    </row>
    <row r="203" spans="2:2" x14ac:dyDescent="0.2">
      <c r="B203" s="26"/>
    </row>
    <row r="204" spans="2:2" x14ac:dyDescent="0.2">
      <c r="B204" s="26"/>
    </row>
    <row r="205" spans="2:2" x14ac:dyDescent="0.2">
      <c r="B205" s="26"/>
    </row>
    <row r="206" spans="2:2" x14ac:dyDescent="0.2">
      <c r="B206" s="26"/>
    </row>
    <row r="207" spans="2:2" x14ac:dyDescent="0.2">
      <c r="B207" s="26"/>
    </row>
    <row r="208" spans="2:2" x14ac:dyDescent="0.2">
      <c r="B208" s="26"/>
    </row>
    <row r="209" spans="2:2" x14ac:dyDescent="0.2">
      <c r="B209" s="26"/>
    </row>
    <row r="210" spans="2:2" x14ac:dyDescent="0.2">
      <c r="B210" s="26"/>
    </row>
    <row r="211" spans="2:2" x14ac:dyDescent="0.2">
      <c r="B211" s="26"/>
    </row>
    <row r="212" spans="2:2" x14ac:dyDescent="0.2">
      <c r="B212" s="26"/>
    </row>
    <row r="213" spans="2:2" x14ac:dyDescent="0.2">
      <c r="B213" s="26"/>
    </row>
    <row r="214" spans="2:2" x14ac:dyDescent="0.2">
      <c r="B214" s="26"/>
    </row>
    <row r="215" spans="2:2" x14ac:dyDescent="0.2">
      <c r="B215" s="26"/>
    </row>
    <row r="216" spans="2:2" x14ac:dyDescent="0.2">
      <c r="B216" s="26"/>
    </row>
    <row r="217" spans="2:2" x14ac:dyDescent="0.2">
      <c r="B217" s="26"/>
    </row>
    <row r="218" spans="2:2" x14ac:dyDescent="0.2">
      <c r="B218" s="26"/>
    </row>
    <row r="219" spans="2:2" x14ac:dyDescent="0.2">
      <c r="B219" s="26"/>
    </row>
    <row r="220" spans="2:2" x14ac:dyDescent="0.2">
      <c r="B220" s="26"/>
    </row>
    <row r="221" spans="2:2" x14ac:dyDescent="0.2">
      <c r="B221" s="26"/>
    </row>
    <row r="222" spans="2:2" x14ac:dyDescent="0.2">
      <c r="B222" s="26"/>
    </row>
    <row r="223" spans="2:2" x14ac:dyDescent="0.2">
      <c r="B223" s="26"/>
    </row>
    <row r="224" spans="2:2" x14ac:dyDescent="0.2">
      <c r="B224" s="26"/>
    </row>
    <row r="225" spans="2:2" x14ac:dyDescent="0.2">
      <c r="B225" s="26"/>
    </row>
    <row r="226" spans="2:2" x14ac:dyDescent="0.2">
      <c r="B226" s="26"/>
    </row>
    <row r="227" spans="2:2" x14ac:dyDescent="0.2">
      <c r="B227" s="26"/>
    </row>
    <row r="228" spans="2:2" x14ac:dyDescent="0.2">
      <c r="B228" s="26"/>
    </row>
    <row r="229" spans="2:2" x14ac:dyDescent="0.2">
      <c r="B229" s="26"/>
    </row>
    <row r="230" spans="2:2" x14ac:dyDescent="0.2">
      <c r="B230" s="26"/>
    </row>
    <row r="231" spans="2:2" x14ac:dyDescent="0.2">
      <c r="B231" s="26"/>
    </row>
    <row r="232" spans="2:2" x14ac:dyDescent="0.2">
      <c r="B232" s="26"/>
    </row>
    <row r="233" spans="2:2" x14ac:dyDescent="0.2">
      <c r="B233" s="26"/>
    </row>
    <row r="234" spans="2:2" x14ac:dyDescent="0.2">
      <c r="B234" s="26"/>
    </row>
    <row r="235" spans="2:2" x14ac:dyDescent="0.2">
      <c r="B235" s="26"/>
    </row>
    <row r="236" spans="2:2" x14ac:dyDescent="0.2">
      <c r="B236" s="26"/>
    </row>
    <row r="237" spans="2:2" x14ac:dyDescent="0.2">
      <c r="B237" s="26"/>
    </row>
    <row r="238" spans="2:2" x14ac:dyDescent="0.2">
      <c r="B238" s="26"/>
    </row>
    <row r="239" spans="2:2" x14ac:dyDescent="0.2">
      <c r="B239" s="26"/>
    </row>
    <row r="240" spans="2:2" x14ac:dyDescent="0.2">
      <c r="B240" s="26"/>
    </row>
    <row r="241" spans="2:2" x14ac:dyDescent="0.2">
      <c r="B241" s="26"/>
    </row>
    <row r="242" spans="2:2" x14ac:dyDescent="0.2">
      <c r="B242" s="26"/>
    </row>
    <row r="243" spans="2:2" x14ac:dyDescent="0.2">
      <c r="B243" s="26"/>
    </row>
    <row r="244" spans="2:2" x14ac:dyDescent="0.2">
      <c r="B244" s="26"/>
    </row>
    <row r="245" spans="2:2" x14ac:dyDescent="0.2">
      <c r="B245" s="26"/>
    </row>
    <row r="246" spans="2:2" x14ac:dyDescent="0.2">
      <c r="B246" s="26"/>
    </row>
    <row r="247" spans="2:2" x14ac:dyDescent="0.2">
      <c r="B247" s="26"/>
    </row>
    <row r="248" spans="2:2" x14ac:dyDescent="0.2">
      <c r="B248" s="26"/>
    </row>
    <row r="249" spans="2:2" x14ac:dyDescent="0.2">
      <c r="B249" s="26"/>
    </row>
    <row r="250" spans="2:2" x14ac:dyDescent="0.2">
      <c r="B250" s="26"/>
    </row>
    <row r="251" spans="2:2" x14ac:dyDescent="0.2">
      <c r="B251" s="26"/>
    </row>
    <row r="252" spans="2:2" x14ac:dyDescent="0.2">
      <c r="B252" s="26"/>
    </row>
    <row r="253" spans="2:2" x14ac:dyDescent="0.2">
      <c r="B253" s="26"/>
    </row>
    <row r="254" spans="2:2" x14ac:dyDescent="0.2">
      <c r="B254" s="26"/>
    </row>
    <row r="255" spans="2:2" x14ac:dyDescent="0.2">
      <c r="B255" s="26"/>
    </row>
    <row r="256" spans="2:2" x14ac:dyDescent="0.2">
      <c r="B256" s="26"/>
    </row>
    <row r="257" spans="2:2" x14ac:dyDescent="0.2">
      <c r="B257" s="26"/>
    </row>
    <row r="258" spans="2:2" x14ac:dyDescent="0.2">
      <c r="B258" s="26"/>
    </row>
    <row r="259" spans="2:2" x14ac:dyDescent="0.2">
      <c r="B259" s="26"/>
    </row>
    <row r="260" spans="2:2" x14ac:dyDescent="0.2">
      <c r="B260" s="26"/>
    </row>
    <row r="261" spans="2:2" x14ac:dyDescent="0.2">
      <c r="B261" s="26"/>
    </row>
    <row r="262" spans="2:2" x14ac:dyDescent="0.2">
      <c r="B262" s="26"/>
    </row>
    <row r="263" spans="2:2" x14ac:dyDescent="0.2">
      <c r="B263" s="26"/>
    </row>
    <row r="264" spans="2:2" x14ac:dyDescent="0.2">
      <c r="B264" s="26"/>
    </row>
    <row r="265" spans="2:2" x14ac:dyDescent="0.2">
      <c r="B265" s="26"/>
    </row>
    <row r="266" spans="2:2" x14ac:dyDescent="0.2">
      <c r="B266" s="26"/>
    </row>
    <row r="267" spans="2:2" x14ac:dyDescent="0.2">
      <c r="B267" s="26"/>
    </row>
    <row r="268" spans="2:2" x14ac:dyDescent="0.2">
      <c r="B268" s="26"/>
    </row>
    <row r="269" spans="2:2" x14ac:dyDescent="0.2">
      <c r="B269" s="26"/>
    </row>
    <row r="270" spans="2:2" x14ac:dyDescent="0.2">
      <c r="B270" s="26"/>
    </row>
    <row r="271" spans="2:2" x14ac:dyDescent="0.2">
      <c r="B271" s="26"/>
    </row>
    <row r="272" spans="2:2" x14ac:dyDescent="0.2">
      <c r="B272" s="26"/>
    </row>
    <row r="273" spans="2:2" x14ac:dyDescent="0.2">
      <c r="B273" s="26"/>
    </row>
    <row r="274" spans="2:2" x14ac:dyDescent="0.2">
      <c r="B274" s="26"/>
    </row>
    <row r="275" spans="2:2" x14ac:dyDescent="0.2">
      <c r="B275" s="26"/>
    </row>
    <row r="276" spans="2:2" x14ac:dyDescent="0.2">
      <c r="B276" s="26"/>
    </row>
    <row r="277" spans="2:2" x14ac:dyDescent="0.2">
      <c r="B277" s="26"/>
    </row>
    <row r="278" spans="2:2" x14ac:dyDescent="0.2">
      <c r="B278" s="26"/>
    </row>
    <row r="279" spans="2:2" x14ac:dyDescent="0.2">
      <c r="B279" s="26"/>
    </row>
    <row r="280" spans="2:2" x14ac:dyDescent="0.2">
      <c r="B280" s="26"/>
    </row>
    <row r="281" spans="2:2" x14ac:dyDescent="0.2">
      <c r="B281" s="26"/>
    </row>
    <row r="282" spans="2:2" x14ac:dyDescent="0.2">
      <c r="B282" s="26"/>
    </row>
    <row r="283" spans="2:2" x14ac:dyDescent="0.2">
      <c r="B283" s="26"/>
    </row>
    <row r="284" spans="2:2" x14ac:dyDescent="0.2">
      <c r="B284" s="26"/>
    </row>
    <row r="285" spans="2:2" x14ac:dyDescent="0.2">
      <c r="B285" s="26"/>
    </row>
    <row r="286" spans="2:2" x14ac:dyDescent="0.2">
      <c r="B286" s="26"/>
    </row>
    <row r="287" spans="2:2" x14ac:dyDescent="0.2">
      <c r="B287" s="26"/>
    </row>
    <row r="288" spans="2:2" x14ac:dyDescent="0.2">
      <c r="B288" s="26"/>
    </row>
    <row r="289" spans="2:2" x14ac:dyDescent="0.2">
      <c r="B289" s="26"/>
    </row>
    <row r="290" spans="2:2" x14ac:dyDescent="0.2">
      <c r="B290" s="26"/>
    </row>
    <row r="291" spans="2:2" x14ac:dyDescent="0.2">
      <c r="B291" s="26"/>
    </row>
    <row r="292" spans="2:2" x14ac:dyDescent="0.2">
      <c r="B292" s="26"/>
    </row>
    <row r="293" spans="2:2" x14ac:dyDescent="0.2">
      <c r="B293" s="26"/>
    </row>
    <row r="294" spans="2:2" x14ac:dyDescent="0.2">
      <c r="B294" s="26"/>
    </row>
    <row r="295" spans="2:2" x14ac:dyDescent="0.2">
      <c r="B295" s="26"/>
    </row>
    <row r="296" spans="2:2" x14ac:dyDescent="0.2">
      <c r="B296" s="26"/>
    </row>
    <row r="297" spans="2:2" x14ac:dyDescent="0.2">
      <c r="B297" s="26"/>
    </row>
    <row r="298" spans="2:2" x14ac:dyDescent="0.2">
      <c r="B298" s="26"/>
    </row>
    <row r="299" spans="2:2" x14ac:dyDescent="0.2">
      <c r="B299" s="26"/>
    </row>
    <row r="300" spans="2:2" x14ac:dyDescent="0.2">
      <c r="B300" s="26"/>
    </row>
    <row r="301" spans="2:2" x14ac:dyDescent="0.2">
      <c r="B301" s="26"/>
    </row>
    <row r="302" spans="2:2" x14ac:dyDescent="0.2">
      <c r="B302" s="26"/>
    </row>
    <row r="303" spans="2:2" x14ac:dyDescent="0.2">
      <c r="B303" s="26"/>
    </row>
    <row r="304" spans="2:2" x14ac:dyDescent="0.2">
      <c r="B304" s="26"/>
    </row>
    <row r="305" spans="2:2" x14ac:dyDescent="0.2">
      <c r="B305" s="26"/>
    </row>
    <row r="306" spans="2:2" x14ac:dyDescent="0.2">
      <c r="B306" s="26"/>
    </row>
    <row r="307" spans="2:2" x14ac:dyDescent="0.2">
      <c r="B307" s="26"/>
    </row>
    <row r="308" spans="2:2" x14ac:dyDescent="0.2">
      <c r="B308" s="26"/>
    </row>
    <row r="309" spans="2:2" x14ac:dyDescent="0.2">
      <c r="B309" s="26"/>
    </row>
    <row r="310" spans="2:2" x14ac:dyDescent="0.2">
      <c r="B310" s="26"/>
    </row>
    <row r="311" spans="2:2" x14ac:dyDescent="0.2">
      <c r="B311" s="26"/>
    </row>
    <row r="312" spans="2:2" x14ac:dyDescent="0.2">
      <c r="B312" s="26"/>
    </row>
    <row r="313" spans="2:2" x14ac:dyDescent="0.2">
      <c r="B313" s="26"/>
    </row>
    <row r="314" spans="2:2" x14ac:dyDescent="0.2">
      <c r="B314" s="26"/>
    </row>
    <row r="315" spans="2:2" x14ac:dyDescent="0.2">
      <c r="B315" s="26"/>
    </row>
    <row r="316" spans="2:2" x14ac:dyDescent="0.2">
      <c r="B316" s="26"/>
    </row>
    <row r="317" spans="2:2" x14ac:dyDescent="0.2">
      <c r="B317" s="26"/>
    </row>
    <row r="318" spans="2:2" x14ac:dyDescent="0.2">
      <c r="B318" s="26"/>
    </row>
    <row r="319" spans="2:2" x14ac:dyDescent="0.2">
      <c r="B319" s="26"/>
    </row>
    <row r="320" spans="2:2" x14ac:dyDescent="0.2">
      <c r="B320" s="26"/>
    </row>
    <row r="321" spans="2:2" x14ac:dyDescent="0.2">
      <c r="B321" s="26"/>
    </row>
    <row r="322" spans="2:2" x14ac:dyDescent="0.2">
      <c r="B322" s="26"/>
    </row>
    <row r="323" spans="2:2" x14ac:dyDescent="0.2">
      <c r="B323" s="26"/>
    </row>
    <row r="324" spans="2:2" x14ac:dyDescent="0.2">
      <c r="B324" s="26"/>
    </row>
    <row r="325" spans="2:2" x14ac:dyDescent="0.2">
      <c r="B325" s="26"/>
    </row>
    <row r="326" spans="2:2" x14ac:dyDescent="0.2">
      <c r="B326" s="26"/>
    </row>
    <row r="327" spans="2:2" x14ac:dyDescent="0.2">
      <c r="B327" s="26"/>
    </row>
    <row r="328" spans="2:2" x14ac:dyDescent="0.2">
      <c r="B328" s="26"/>
    </row>
    <row r="329" spans="2:2" x14ac:dyDescent="0.2">
      <c r="B329" s="26"/>
    </row>
    <row r="330" spans="2:2" x14ac:dyDescent="0.2">
      <c r="B330" s="26"/>
    </row>
    <row r="331" spans="2:2" x14ac:dyDescent="0.2">
      <c r="B331" s="26"/>
    </row>
    <row r="332" spans="2:2" x14ac:dyDescent="0.2">
      <c r="B332" s="26"/>
    </row>
    <row r="333" spans="2:2" x14ac:dyDescent="0.2">
      <c r="B333" s="26"/>
    </row>
    <row r="334" spans="2:2" x14ac:dyDescent="0.2">
      <c r="B334" s="26"/>
    </row>
    <row r="335" spans="2:2" x14ac:dyDescent="0.2">
      <c r="B335" s="26"/>
    </row>
    <row r="336" spans="2:2" x14ac:dyDescent="0.2">
      <c r="B336" s="26"/>
    </row>
    <row r="337" spans="2:2" x14ac:dyDescent="0.2">
      <c r="B337" s="26"/>
    </row>
    <row r="338" spans="2:2" x14ac:dyDescent="0.2">
      <c r="B338" s="26"/>
    </row>
    <row r="339" spans="2:2" x14ac:dyDescent="0.2">
      <c r="B339" s="26"/>
    </row>
    <row r="340" spans="2:2" x14ac:dyDescent="0.2">
      <c r="B340" s="26"/>
    </row>
    <row r="341" spans="2:2" x14ac:dyDescent="0.2">
      <c r="B341" s="26"/>
    </row>
    <row r="342" spans="2:2" x14ac:dyDescent="0.2">
      <c r="B342" s="26"/>
    </row>
    <row r="343" spans="2:2" x14ac:dyDescent="0.2">
      <c r="B343" s="26"/>
    </row>
    <row r="344" spans="2:2" x14ac:dyDescent="0.2">
      <c r="B344" s="26"/>
    </row>
    <row r="345" spans="2:2" x14ac:dyDescent="0.2">
      <c r="B345" s="26"/>
    </row>
    <row r="346" spans="2:2" x14ac:dyDescent="0.2">
      <c r="B346" s="26"/>
    </row>
    <row r="347" spans="2:2" x14ac:dyDescent="0.2">
      <c r="B347" s="26"/>
    </row>
    <row r="348" spans="2:2" x14ac:dyDescent="0.2">
      <c r="B348" s="26"/>
    </row>
    <row r="349" spans="2:2" x14ac:dyDescent="0.2">
      <c r="B349" s="26"/>
    </row>
    <row r="350" spans="2:2" x14ac:dyDescent="0.2">
      <c r="B350" s="26"/>
    </row>
    <row r="351" spans="2:2" x14ac:dyDescent="0.2">
      <c r="B351" s="26"/>
    </row>
    <row r="352" spans="2:2" x14ac:dyDescent="0.2">
      <c r="B352" s="26"/>
    </row>
    <row r="353" spans="2:2" x14ac:dyDescent="0.2">
      <c r="B353" s="26"/>
    </row>
    <row r="354" spans="2:2" x14ac:dyDescent="0.2">
      <c r="B354" s="26"/>
    </row>
    <row r="355" spans="2:2" x14ac:dyDescent="0.2">
      <c r="B355" s="26"/>
    </row>
    <row r="356" spans="2:2" x14ac:dyDescent="0.2">
      <c r="B356" s="26"/>
    </row>
    <row r="357" spans="2:2" x14ac:dyDescent="0.2">
      <c r="B357" s="26"/>
    </row>
    <row r="358" spans="2:2" x14ac:dyDescent="0.2">
      <c r="B358" s="26"/>
    </row>
    <row r="359" spans="2:2" x14ac:dyDescent="0.2">
      <c r="B359" s="26"/>
    </row>
    <row r="360" spans="2:2" x14ac:dyDescent="0.2">
      <c r="B360" s="26"/>
    </row>
    <row r="361" spans="2:2" x14ac:dyDescent="0.2">
      <c r="B361" s="26"/>
    </row>
    <row r="362" spans="2:2" x14ac:dyDescent="0.2">
      <c r="B362" s="26"/>
    </row>
    <row r="363" spans="2:2" x14ac:dyDescent="0.2">
      <c r="B363" s="26"/>
    </row>
    <row r="364" spans="2:2" x14ac:dyDescent="0.2">
      <c r="B364" s="26"/>
    </row>
    <row r="365" spans="2:2" x14ac:dyDescent="0.2">
      <c r="B365" s="26"/>
    </row>
    <row r="366" spans="2:2" x14ac:dyDescent="0.2">
      <c r="B366" s="26"/>
    </row>
    <row r="367" spans="2:2" x14ac:dyDescent="0.2">
      <c r="B367" s="26"/>
    </row>
    <row r="368" spans="2:2" x14ac:dyDescent="0.2">
      <c r="B368" s="26"/>
    </row>
    <row r="369" spans="2:2" x14ac:dyDescent="0.2">
      <c r="B369" s="26"/>
    </row>
    <row r="370" spans="2:2" x14ac:dyDescent="0.2">
      <c r="B370" s="26"/>
    </row>
    <row r="371" spans="2:2" x14ac:dyDescent="0.2">
      <c r="B371" s="26"/>
    </row>
    <row r="372" spans="2:2" x14ac:dyDescent="0.2">
      <c r="B372" s="26"/>
    </row>
    <row r="373" spans="2:2" x14ac:dyDescent="0.2">
      <c r="B373" s="26"/>
    </row>
    <row r="374" spans="2:2" x14ac:dyDescent="0.2">
      <c r="B374" s="26"/>
    </row>
    <row r="375" spans="2:2" x14ac:dyDescent="0.2">
      <c r="B375" s="26"/>
    </row>
    <row r="376" spans="2:2" x14ac:dyDescent="0.2">
      <c r="B376" s="26"/>
    </row>
    <row r="377" spans="2:2" x14ac:dyDescent="0.2">
      <c r="B377" s="26"/>
    </row>
    <row r="378" spans="2:2" x14ac:dyDescent="0.2">
      <c r="B378" s="26"/>
    </row>
    <row r="379" spans="2:2" x14ac:dyDescent="0.2">
      <c r="B379" s="26"/>
    </row>
    <row r="380" spans="2:2" x14ac:dyDescent="0.2">
      <c r="B380" s="26"/>
    </row>
    <row r="381" spans="2:2" x14ac:dyDescent="0.2">
      <c r="B381" s="26"/>
    </row>
    <row r="382" spans="2:2" x14ac:dyDescent="0.2">
      <c r="B382" s="26"/>
    </row>
    <row r="383" spans="2:2" x14ac:dyDescent="0.2">
      <c r="B383" s="26"/>
    </row>
    <row r="384" spans="2:2" x14ac:dyDescent="0.2">
      <c r="B384" s="26"/>
    </row>
    <row r="385" spans="2:2" x14ac:dyDescent="0.2">
      <c r="B385" s="26"/>
    </row>
    <row r="386" spans="2:2" x14ac:dyDescent="0.2">
      <c r="B386" s="26"/>
    </row>
    <row r="387" spans="2:2" x14ac:dyDescent="0.2">
      <c r="B387" s="26"/>
    </row>
    <row r="388" spans="2:2" x14ac:dyDescent="0.2">
      <c r="B388" s="26"/>
    </row>
    <row r="389" spans="2:2" x14ac:dyDescent="0.2">
      <c r="B389" s="26"/>
    </row>
    <row r="390" spans="2:2" x14ac:dyDescent="0.2">
      <c r="B390" s="26"/>
    </row>
    <row r="391" spans="2:2" x14ac:dyDescent="0.2">
      <c r="B391" s="26"/>
    </row>
    <row r="392" spans="2:2" x14ac:dyDescent="0.2">
      <c r="B392" s="26"/>
    </row>
    <row r="393" spans="2:2" x14ac:dyDescent="0.2">
      <c r="B393" s="26"/>
    </row>
    <row r="394" spans="2:2" x14ac:dyDescent="0.2">
      <c r="B394" s="26"/>
    </row>
    <row r="395" spans="2:2" x14ac:dyDescent="0.2">
      <c r="B395" s="26"/>
    </row>
    <row r="396" spans="2:2" x14ac:dyDescent="0.2">
      <c r="B396" s="26"/>
    </row>
    <row r="397" spans="2:2" x14ac:dyDescent="0.2">
      <c r="B397" s="26"/>
    </row>
    <row r="398" spans="2:2" x14ac:dyDescent="0.2">
      <c r="B398" s="26"/>
    </row>
    <row r="399" spans="2:2" x14ac:dyDescent="0.2">
      <c r="B399" s="26"/>
    </row>
    <row r="400" spans="2:2" x14ac:dyDescent="0.2">
      <c r="B400" s="26"/>
    </row>
    <row r="401" spans="2:2" x14ac:dyDescent="0.2">
      <c r="B401" s="26"/>
    </row>
    <row r="402" spans="2:2" x14ac:dyDescent="0.2">
      <c r="B402" s="26"/>
    </row>
    <row r="403" spans="2:2" x14ac:dyDescent="0.2">
      <c r="B403" s="26"/>
    </row>
    <row r="404" spans="2:2" x14ac:dyDescent="0.2">
      <c r="B404" s="26"/>
    </row>
    <row r="405" spans="2:2" x14ac:dyDescent="0.2">
      <c r="B405" s="26"/>
    </row>
    <row r="406" spans="2:2" x14ac:dyDescent="0.2">
      <c r="B406" s="26"/>
    </row>
    <row r="407" spans="2:2" x14ac:dyDescent="0.2">
      <c r="B407" s="26"/>
    </row>
    <row r="408" spans="2:2" x14ac:dyDescent="0.2">
      <c r="B408" s="26"/>
    </row>
    <row r="409" spans="2:2" x14ac:dyDescent="0.2">
      <c r="B409" s="26"/>
    </row>
    <row r="410" spans="2:2" x14ac:dyDescent="0.2">
      <c r="B410" s="26"/>
    </row>
    <row r="411" spans="2:2" x14ac:dyDescent="0.2">
      <c r="B411" s="26"/>
    </row>
    <row r="412" spans="2:2" x14ac:dyDescent="0.2">
      <c r="B412" s="26"/>
    </row>
    <row r="413" spans="2:2" x14ac:dyDescent="0.2">
      <c r="B413" s="26"/>
    </row>
    <row r="414" spans="2:2" x14ac:dyDescent="0.2">
      <c r="B414" s="26"/>
    </row>
    <row r="415" spans="2:2" x14ac:dyDescent="0.2">
      <c r="B415" s="26"/>
    </row>
    <row r="416" spans="2:2" x14ac:dyDescent="0.2">
      <c r="B416" s="26"/>
    </row>
    <row r="417" spans="2:2" x14ac:dyDescent="0.2">
      <c r="B417" s="26"/>
    </row>
    <row r="418" spans="2:2" x14ac:dyDescent="0.2">
      <c r="B418" s="26"/>
    </row>
    <row r="419" spans="2:2" x14ac:dyDescent="0.2">
      <c r="B419" s="26"/>
    </row>
    <row r="420" spans="2:2" x14ac:dyDescent="0.2">
      <c r="B420" s="26"/>
    </row>
    <row r="421" spans="2:2" x14ac:dyDescent="0.2">
      <c r="B421" s="26"/>
    </row>
    <row r="422" spans="2:2" x14ac:dyDescent="0.2">
      <c r="B422" s="26"/>
    </row>
    <row r="423" spans="2:2" x14ac:dyDescent="0.2">
      <c r="B423" s="26"/>
    </row>
    <row r="424" spans="2:2" x14ac:dyDescent="0.2">
      <c r="B424" s="26"/>
    </row>
    <row r="425" spans="2:2" x14ac:dyDescent="0.2">
      <c r="B425" s="26"/>
    </row>
    <row r="426" spans="2:2" x14ac:dyDescent="0.2">
      <c r="B426" s="26"/>
    </row>
    <row r="427" spans="2:2" x14ac:dyDescent="0.2">
      <c r="B427" s="26"/>
    </row>
    <row r="428" spans="2:2" x14ac:dyDescent="0.2">
      <c r="B428" s="26"/>
    </row>
    <row r="429" spans="2:2" x14ac:dyDescent="0.2">
      <c r="B429" s="26"/>
    </row>
    <row r="430" spans="2:2" x14ac:dyDescent="0.2">
      <c r="B430" s="26"/>
    </row>
    <row r="431" spans="2:2" x14ac:dyDescent="0.2">
      <c r="B431" s="26"/>
    </row>
    <row r="432" spans="2:2" x14ac:dyDescent="0.2">
      <c r="B432" s="26"/>
    </row>
    <row r="433" spans="2:2" x14ac:dyDescent="0.2">
      <c r="B433" s="26"/>
    </row>
    <row r="434" spans="2:2" x14ac:dyDescent="0.2">
      <c r="B434" s="26"/>
    </row>
    <row r="435" spans="2:2" x14ac:dyDescent="0.2">
      <c r="B435" s="26"/>
    </row>
    <row r="436" spans="2:2" x14ac:dyDescent="0.2">
      <c r="B436" s="26"/>
    </row>
    <row r="437" spans="2:2" x14ac:dyDescent="0.2">
      <c r="B437" s="26"/>
    </row>
    <row r="438" spans="2:2" x14ac:dyDescent="0.2">
      <c r="B438" s="26"/>
    </row>
    <row r="439" spans="2:2" x14ac:dyDescent="0.2">
      <c r="B439" s="26"/>
    </row>
    <row r="440" spans="2:2" x14ac:dyDescent="0.2">
      <c r="B440" s="26"/>
    </row>
    <row r="441" spans="2:2" x14ac:dyDescent="0.2">
      <c r="B441" s="26"/>
    </row>
    <row r="442" spans="2:2" x14ac:dyDescent="0.2">
      <c r="B442" s="26"/>
    </row>
    <row r="443" spans="2:2" x14ac:dyDescent="0.2">
      <c r="B443" s="26"/>
    </row>
    <row r="444" spans="2:2" x14ac:dyDescent="0.2">
      <c r="B444" s="26"/>
    </row>
    <row r="445" spans="2:2" x14ac:dyDescent="0.2">
      <c r="B445" s="26"/>
    </row>
    <row r="446" spans="2:2" x14ac:dyDescent="0.2">
      <c r="B446" s="26"/>
    </row>
    <row r="447" spans="2:2" x14ac:dyDescent="0.2">
      <c r="B447" s="26"/>
    </row>
    <row r="448" spans="2:2" x14ac:dyDescent="0.2">
      <c r="B448" s="26"/>
    </row>
    <row r="449" spans="2:2" x14ac:dyDescent="0.2">
      <c r="B449" s="26"/>
    </row>
    <row r="450" spans="2:2" x14ac:dyDescent="0.2">
      <c r="B450" s="26"/>
    </row>
    <row r="451" spans="2:2" x14ac:dyDescent="0.2">
      <c r="B451" s="26"/>
    </row>
    <row r="452" spans="2:2" x14ac:dyDescent="0.2">
      <c r="B452" s="26"/>
    </row>
    <row r="453" spans="2:2" x14ac:dyDescent="0.2">
      <c r="B453" s="26"/>
    </row>
    <row r="454" spans="2:2" x14ac:dyDescent="0.2">
      <c r="B454" s="26"/>
    </row>
    <row r="455" spans="2:2" x14ac:dyDescent="0.2">
      <c r="B455" s="26"/>
    </row>
    <row r="456" spans="2:2" x14ac:dyDescent="0.2">
      <c r="B456" s="26"/>
    </row>
    <row r="457" spans="2:2" x14ac:dyDescent="0.2">
      <c r="B457" s="26"/>
    </row>
    <row r="458" spans="2:2" x14ac:dyDescent="0.2">
      <c r="B458" s="26"/>
    </row>
    <row r="459" spans="2:2" x14ac:dyDescent="0.2">
      <c r="B459" s="26"/>
    </row>
    <row r="460" spans="2:2" x14ac:dyDescent="0.2">
      <c r="B460" s="26"/>
    </row>
    <row r="461" spans="2:2" x14ac:dyDescent="0.2">
      <c r="B461" s="26"/>
    </row>
    <row r="462" spans="2:2" x14ac:dyDescent="0.2">
      <c r="B462" s="26"/>
    </row>
    <row r="463" spans="2:2" x14ac:dyDescent="0.2">
      <c r="B463" s="26"/>
    </row>
    <row r="464" spans="2:2" x14ac:dyDescent="0.2">
      <c r="B464" s="26"/>
    </row>
    <row r="465" spans="2:2" x14ac:dyDescent="0.2">
      <c r="B465" s="26"/>
    </row>
    <row r="466" spans="2:2" x14ac:dyDescent="0.2">
      <c r="B466" s="26"/>
    </row>
    <row r="467" spans="2:2" x14ac:dyDescent="0.2">
      <c r="B467" s="26"/>
    </row>
    <row r="468" spans="2:2" x14ac:dyDescent="0.2">
      <c r="B468" s="26"/>
    </row>
    <row r="469" spans="2:2" x14ac:dyDescent="0.2">
      <c r="B469" s="26"/>
    </row>
    <row r="470" spans="2:2" x14ac:dyDescent="0.2">
      <c r="B470" s="26"/>
    </row>
    <row r="471" spans="2:2" x14ac:dyDescent="0.2">
      <c r="B471" s="26"/>
    </row>
    <row r="472" spans="2:2" x14ac:dyDescent="0.2">
      <c r="B472" s="26"/>
    </row>
    <row r="473" spans="2:2" x14ac:dyDescent="0.2">
      <c r="B473" s="26"/>
    </row>
    <row r="474" spans="2:2" x14ac:dyDescent="0.2">
      <c r="B474" s="26"/>
    </row>
    <row r="475" spans="2:2" x14ac:dyDescent="0.2">
      <c r="B475" s="26"/>
    </row>
    <row r="476" spans="2:2" x14ac:dyDescent="0.2">
      <c r="B476" s="26"/>
    </row>
    <row r="477" spans="2:2" x14ac:dyDescent="0.2">
      <c r="B477" s="26"/>
    </row>
    <row r="478" spans="2:2" x14ac:dyDescent="0.2">
      <c r="B478" s="26"/>
    </row>
    <row r="479" spans="2:2" x14ac:dyDescent="0.2">
      <c r="B479" s="26"/>
    </row>
    <row r="480" spans="2:2" x14ac:dyDescent="0.2">
      <c r="B480" s="26"/>
    </row>
    <row r="481" spans="2:2" x14ac:dyDescent="0.2">
      <c r="B481" s="26"/>
    </row>
    <row r="482" spans="2:2" x14ac:dyDescent="0.2">
      <c r="B482" s="26"/>
    </row>
    <row r="483" spans="2:2" x14ac:dyDescent="0.2">
      <c r="B483" s="26"/>
    </row>
    <row r="484" spans="2:2" x14ac:dyDescent="0.2">
      <c r="B484" s="26"/>
    </row>
    <row r="485" spans="2:2" x14ac:dyDescent="0.2">
      <c r="B485" s="26"/>
    </row>
    <row r="486" spans="2:2" x14ac:dyDescent="0.2">
      <c r="B486" s="26"/>
    </row>
    <row r="487" spans="2:2" x14ac:dyDescent="0.2">
      <c r="B487" s="26"/>
    </row>
    <row r="488" spans="2:2" x14ac:dyDescent="0.2">
      <c r="B488" s="26"/>
    </row>
    <row r="489" spans="2:2" x14ac:dyDescent="0.2">
      <c r="B489" s="26"/>
    </row>
    <row r="490" spans="2:2" x14ac:dyDescent="0.2">
      <c r="B490" s="26"/>
    </row>
    <row r="491" spans="2:2" x14ac:dyDescent="0.2">
      <c r="B491" s="26"/>
    </row>
    <row r="492" spans="2:2" x14ac:dyDescent="0.2">
      <c r="B492" s="26"/>
    </row>
    <row r="493" spans="2:2" x14ac:dyDescent="0.2">
      <c r="B493" s="26"/>
    </row>
    <row r="494" spans="2:2" x14ac:dyDescent="0.2">
      <c r="B494" s="26"/>
    </row>
    <row r="495" spans="2:2" x14ac:dyDescent="0.2">
      <c r="B495" s="26"/>
    </row>
    <row r="496" spans="2:2" x14ac:dyDescent="0.2">
      <c r="B496" s="26"/>
    </row>
    <row r="497" spans="2:2" x14ac:dyDescent="0.2">
      <c r="B497" s="26"/>
    </row>
    <row r="498" spans="2:2" x14ac:dyDescent="0.2">
      <c r="B498" s="26"/>
    </row>
    <row r="499" spans="2:2" x14ac:dyDescent="0.2">
      <c r="B499" s="26"/>
    </row>
    <row r="500" spans="2:2" x14ac:dyDescent="0.2">
      <c r="B500" s="26"/>
    </row>
    <row r="501" spans="2:2" x14ac:dyDescent="0.2">
      <c r="B501" s="26"/>
    </row>
    <row r="502" spans="2:2" x14ac:dyDescent="0.2">
      <c r="B502" s="26"/>
    </row>
    <row r="503" spans="2:2" x14ac:dyDescent="0.2">
      <c r="B503" s="26"/>
    </row>
    <row r="504" spans="2:2" x14ac:dyDescent="0.2">
      <c r="B504" s="26"/>
    </row>
    <row r="505" spans="2:2" x14ac:dyDescent="0.2">
      <c r="B505" s="26"/>
    </row>
    <row r="506" spans="2:2" x14ac:dyDescent="0.2">
      <c r="B506" s="26"/>
    </row>
    <row r="507" spans="2:2" x14ac:dyDescent="0.2">
      <c r="B507" s="26"/>
    </row>
    <row r="508" spans="2:2" x14ac:dyDescent="0.2">
      <c r="B508" s="26"/>
    </row>
    <row r="509" spans="2:2" x14ac:dyDescent="0.2">
      <c r="B509" s="26"/>
    </row>
    <row r="510" spans="2:2" x14ac:dyDescent="0.2">
      <c r="B510" s="26"/>
    </row>
    <row r="511" spans="2:2" x14ac:dyDescent="0.2">
      <c r="B511" s="26"/>
    </row>
    <row r="512" spans="2:2" x14ac:dyDescent="0.2">
      <c r="B512" s="26"/>
    </row>
    <row r="513" spans="2:2" x14ac:dyDescent="0.2">
      <c r="B513" s="26"/>
    </row>
    <row r="514" spans="2:2" x14ac:dyDescent="0.2">
      <c r="B514" s="26"/>
    </row>
    <row r="515" spans="2:2" x14ac:dyDescent="0.2">
      <c r="B515" s="26"/>
    </row>
    <row r="516" spans="2:2" x14ac:dyDescent="0.2">
      <c r="B516" s="26"/>
    </row>
    <row r="517" spans="2:2" x14ac:dyDescent="0.2">
      <c r="B517" s="26"/>
    </row>
    <row r="518" spans="2:2" x14ac:dyDescent="0.2">
      <c r="B518" s="26"/>
    </row>
    <row r="519" spans="2:2" x14ac:dyDescent="0.2">
      <c r="B519" s="26"/>
    </row>
    <row r="520" spans="2:2" x14ac:dyDescent="0.2">
      <c r="B520" s="26"/>
    </row>
    <row r="521" spans="2:2" x14ac:dyDescent="0.2">
      <c r="B521" s="26"/>
    </row>
  </sheetData>
  <mergeCells count="18">
    <mergeCell ref="A67:I67"/>
    <mergeCell ref="A76:F76"/>
    <mergeCell ref="A78:I78"/>
    <mergeCell ref="A10:I10"/>
    <mergeCell ref="A18:I18"/>
    <mergeCell ref="A59:I59"/>
    <mergeCell ref="A62:I62"/>
    <mergeCell ref="A11:I11"/>
    <mergeCell ref="G6:G8"/>
    <mergeCell ref="H6:H8"/>
    <mergeCell ref="A2:I2"/>
    <mergeCell ref="A3:I3"/>
    <mergeCell ref="A5:A8"/>
    <mergeCell ref="B5:B8"/>
    <mergeCell ref="C5:E7"/>
    <mergeCell ref="F5:F8"/>
    <mergeCell ref="G5:H5"/>
    <mergeCell ref="I5:I8"/>
  </mergeCells>
  <phoneticPr fontId="18" type="noConversion"/>
  <printOptions horizontalCentered="1"/>
  <pageMargins left="0.39370078740157483" right="0.39370078740157483" top="0.39370078740157483" bottom="0.39370078740157483" header="0" footer="0"/>
  <pageSetup paperSize="9" scale="31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tabSelected="1" zoomScale="75" zoomScaleNormal="75" workbookViewId="0">
      <selection activeCell="A4" sqref="A4"/>
    </sheetView>
  </sheetViews>
  <sheetFormatPr defaultRowHeight="12.75" x14ac:dyDescent="0.2"/>
  <cols>
    <col min="1" max="1" width="5.5703125" customWidth="1"/>
    <col min="2" max="2" width="43.28515625" customWidth="1"/>
    <col min="3" max="3" width="28.140625" customWidth="1"/>
    <col min="4" max="4" width="29.140625" customWidth="1"/>
    <col min="5" max="5" width="22.42578125" customWidth="1"/>
    <col min="6" max="6" width="29.5703125" customWidth="1"/>
    <col min="7" max="7" width="34.5703125" customWidth="1"/>
    <col min="8" max="8" width="43.85546875" customWidth="1"/>
  </cols>
  <sheetData>
    <row r="1" spans="1:9" ht="26.25" customHeight="1" x14ac:dyDescent="0.2">
      <c r="G1" s="61"/>
      <c r="H1" s="90" t="s">
        <v>168</v>
      </c>
      <c r="I1" s="58"/>
    </row>
    <row r="3" spans="1:9" ht="76.5" customHeight="1" x14ac:dyDescent="0.2">
      <c r="A3" s="508" t="s">
        <v>362</v>
      </c>
      <c r="B3" s="508"/>
      <c r="C3" s="508"/>
      <c r="D3" s="508"/>
      <c r="E3" s="508"/>
      <c r="F3" s="508"/>
      <c r="G3" s="508"/>
      <c r="H3" s="508"/>
    </row>
    <row r="4" spans="1:9" ht="29.25" customHeight="1" x14ac:dyDescent="0.2">
      <c r="A4" s="59"/>
      <c r="B4" s="59"/>
      <c r="C4" s="59"/>
      <c r="D4" s="60"/>
      <c r="E4" s="60"/>
      <c r="F4" s="60"/>
      <c r="G4" s="60"/>
    </row>
    <row r="5" spans="1:9" ht="146.25" customHeight="1" x14ac:dyDescent="0.2">
      <c r="A5" s="74" t="s">
        <v>160</v>
      </c>
      <c r="B5" s="74" t="s">
        <v>161</v>
      </c>
      <c r="C5" s="74" t="s">
        <v>162</v>
      </c>
      <c r="D5" s="74" t="s">
        <v>166</v>
      </c>
      <c r="E5" s="74" t="s">
        <v>164</v>
      </c>
      <c r="F5" s="74" t="s">
        <v>163</v>
      </c>
      <c r="G5" s="74" t="s">
        <v>254</v>
      </c>
      <c r="H5" s="74" t="s">
        <v>165</v>
      </c>
    </row>
    <row r="6" spans="1:9" ht="126.75" customHeight="1" x14ac:dyDescent="0.2">
      <c r="A6" s="110"/>
      <c r="B6" s="106"/>
      <c r="C6" s="107"/>
      <c r="D6" s="107"/>
      <c r="E6" s="107"/>
      <c r="F6" s="107"/>
      <c r="G6" s="282"/>
      <c r="H6" s="106"/>
    </row>
  </sheetData>
  <mergeCells count="1">
    <mergeCell ref="A3:H3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Аналит.отчет</vt:lpstr>
      <vt:lpstr>Диагностика</vt:lpstr>
      <vt:lpstr>Расчет ИФО</vt:lpstr>
      <vt:lpstr>Инвест. проекты</vt:lpstr>
      <vt:lpstr>Аналит.отчет!Заголовки_для_печати</vt:lpstr>
      <vt:lpstr>Диагностика!Заголовки_для_печати</vt:lpstr>
      <vt:lpstr>'Расчет ИФО'!Заголовки_для_печати</vt:lpstr>
      <vt:lpstr>Аналит.отчет!Область_печати</vt:lpstr>
      <vt:lpstr>Диагностика!Область_печати</vt:lpstr>
      <vt:lpstr>'Инвест. проекты'!Область_печати</vt:lpstr>
      <vt:lpstr>'Расчет ИФО'!Область_печати</vt:lpstr>
    </vt:vector>
  </TitlesOfParts>
  <Company>AoIR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2026-06-29T08:36:34Z</cp:lastPrinted>
  <dcterms:created xsi:type="dcterms:W3CDTF">2006-03-06T08:26:24Z</dcterms:created>
  <dcterms:modified xsi:type="dcterms:W3CDTF">2026-06-29T08:38:16Z</dcterms:modified>
</cp:coreProperties>
</file>