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3\поправка 27 декабря 2022г\поселение\"/>
    </mc:Choice>
  </mc:AlternateContent>
  <bookViews>
    <workbookView xWindow="-120" yWindow="-120" windowWidth="24240" windowHeight="13140" activeTab="3"/>
  </bookViews>
  <sheets>
    <sheet name="2023" sheetId="1" r:id="rId1"/>
    <sheet name="2024" sheetId="5" r:id="rId2"/>
    <sheet name="2025" sheetId="4" r:id="rId3"/>
    <sheet name="Лист3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6" l="1"/>
  <c r="C16" i="6"/>
  <c r="BB21" i="4"/>
  <c r="AZ24" i="4"/>
  <c r="AZ28" i="4"/>
  <c r="BD21" i="5"/>
  <c r="AZ24" i="5"/>
  <c r="AZ28" i="5"/>
  <c r="BD21" i="4" l="1"/>
  <c r="B16" i="6" l="1"/>
  <c r="BK21" i="1"/>
  <c r="BF21" i="1" l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7" i="1"/>
  <c r="BG21" i="1" l="1"/>
  <c r="BC8" i="4" l="1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7" i="4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7" i="5"/>
  <c r="BA21" i="5"/>
  <c r="BC21" i="5" s="1"/>
  <c r="BA7" i="4" l="1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AA13" i="1" l="1"/>
  <c r="AI21" i="5" l="1"/>
  <c r="AH21" i="5"/>
  <c r="AG21" i="5"/>
  <c r="AF21" i="5"/>
  <c r="AE21" i="5"/>
  <c r="U21" i="5"/>
  <c r="T21" i="5"/>
  <c r="S21" i="5"/>
  <c r="W10" i="5" s="1"/>
  <c r="P21" i="5"/>
  <c r="O21" i="5"/>
  <c r="L21" i="5"/>
  <c r="K21" i="5"/>
  <c r="J21" i="5"/>
  <c r="G21" i="5"/>
  <c r="F21" i="5"/>
  <c r="E21" i="5"/>
  <c r="I15" i="5" s="1"/>
  <c r="C21" i="5"/>
  <c r="B21" i="5"/>
  <c r="AD20" i="5"/>
  <c r="AM20" i="5" s="1"/>
  <c r="AA20" i="5"/>
  <c r="D20" i="5"/>
  <c r="AD19" i="5"/>
  <c r="AM19" i="5" s="1"/>
  <c r="AA19" i="5"/>
  <c r="D19" i="5"/>
  <c r="AD18" i="5"/>
  <c r="AK18" i="5" s="1"/>
  <c r="AA18" i="5"/>
  <c r="D18" i="5"/>
  <c r="AD17" i="5"/>
  <c r="AM17" i="5" s="1"/>
  <c r="AA17" i="5"/>
  <c r="D17" i="5"/>
  <c r="AD16" i="5"/>
  <c r="AK16" i="5" s="1"/>
  <c r="AA16" i="5"/>
  <c r="D16" i="5"/>
  <c r="AD15" i="5"/>
  <c r="AM15" i="5" s="1"/>
  <c r="AA15" i="5"/>
  <c r="D15" i="5"/>
  <c r="AD14" i="5"/>
  <c r="AK14" i="5" s="1"/>
  <c r="AA14" i="5"/>
  <c r="D14" i="5"/>
  <c r="AD13" i="5"/>
  <c r="AM13" i="5" s="1"/>
  <c r="AA13" i="5"/>
  <c r="D13" i="5"/>
  <c r="AD12" i="5"/>
  <c r="AK12" i="5" s="1"/>
  <c r="AA12" i="5"/>
  <c r="D12" i="5"/>
  <c r="AD11" i="5"/>
  <c r="AM11" i="5" s="1"/>
  <c r="AA11" i="5"/>
  <c r="D11" i="5"/>
  <c r="AD10" i="5"/>
  <c r="AA10" i="5"/>
  <c r="D10" i="5"/>
  <c r="AD9" i="5"/>
  <c r="AM9" i="5" s="1"/>
  <c r="AA9" i="5"/>
  <c r="D9" i="5"/>
  <c r="AD8" i="5"/>
  <c r="AM8" i="5" s="1"/>
  <c r="AA8" i="5"/>
  <c r="D8" i="5"/>
  <c r="AL7" i="5"/>
  <c r="AD7" i="5"/>
  <c r="AM7" i="5" s="1"/>
  <c r="AA7" i="5"/>
  <c r="X7" i="5"/>
  <c r="D7" i="5"/>
  <c r="AI4" i="5"/>
  <c r="AI21" i="4"/>
  <c r="AH21" i="4"/>
  <c r="AG21" i="4"/>
  <c r="AF21" i="4"/>
  <c r="AE21" i="4"/>
  <c r="U21" i="4"/>
  <c r="T21" i="4"/>
  <c r="S21" i="4"/>
  <c r="P21" i="4"/>
  <c r="O21" i="4"/>
  <c r="L21" i="4"/>
  <c r="K21" i="4"/>
  <c r="N12" i="4" s="1"/>
  <c r="J21" i="4"/>
  <c r="G21" i="4"/>
  <c r="F21" i="4"/>
  <c r="E21" i="4"/>
  <c r="C21" i="4"/>
  <c r="B21" i="4"/>
  <c r="AD20" i="4"/>
  <c r="AM20" i="4" s="1"/>
  <c r="AA20" i="4"/>
  <c r="R20" i="4"/>
  <c r="D20" i="4"/>
  <c r="AD19" i="4"/>
  <c r="AM19" i="4" s="1"/>
  <c r="AA19" i="4"/>
  <c r="D19" i="4"/>
  <c r="AJ18" i="4"/>
  <c r="AD18" i="4"/>
  <c r="AM18" i="4" s="1"/>
  <c r="AA18" i="4"/>
  <c r="D18" i="4"/>
  <c r="AD17" i="4"/>
  <c r="AM17" i="4" s="1"/>
  <c r="AA17" i="4"/>
  <c r="D17" i="4"/>
  <c r="AD16" i="4"/>
  <c r="AM16" i="4" s="1"/>
  <c r="AA16" i="4"/>
  <c r="D16" i="4"/>
  <c r="AD15" i="4"/>
  <c r="AM15" i="4" s="1"/>
  <c r="AA15" i="4"/>
  <c r="D15" i="4"/>
  <c r="AD14" i="4"/>
  <c r="AM14" i="4" s="1"/>
  <c r="AA14" i="4"/>
  <c r="D14" i="4"/>
  <c r="AD13" i="4"/>
  <c r="AM13" i="4" s="1"/>
  <c r="AA13" i="4"/>
  <c r="D13" i="4"/>
  <c r="AK12" i="4"/>
  <c r="AD12" i="4"/>
  <c r="AM12" i="4" s="1"/>
  <c r="AA12" i="4"/>
  <c r="D12" i="4"/>
  <c r="AD11" i="4"/>
  <c r="AM11" i="4" s="1"/>
  <c r="AA11" i="4"/>
  <c r="D11" i="4"/>
  <c r="AD10" i="4"/>
  <c r="AM10" i="4" s="1"/>
  <c r="AA10" i="4"/>
  <c r="D10" i="4"/>
  <c r="AD9" i="4"/>
  <c r="AM9" i="4" s="1"/>
  <c r="AA9" i="4"/>
  <c r="D9" i="4"/>
  <c r="AD8" i="4"/>
  <c r="AM8" i="4" s="1"/>
  <c r="AA8" i="4"/>
  <c r="D8" i="4"/>
  <c r="AD7" i="4"/>
  <c r="AM7" i="4" s="1"/>
  <c r="AA7" i="4"/>
  <c r="X7" i="4"/>
  <c r="D7" i="4"/>
  <c r="AI4" i="4"/>
  <c r="AL19" i="5" l="1"/>
  <c r="AK13" i="5"/>
  <c r="W15" i="4"/>
  <c r="W9" i="4"/>
  <c r="W17" i="4"/>
  <c r="R15" i="4"/>
  <c r="N7" i="4"/>
  <c r="N18" i="4"/>
  <c r="I19" i="4"/>
  <c r="AL20" i="4"/>
  <c r="AL9" i="4"/>
  <c r="AL15" i="4"/>
  <c r="AK18" i="4"/>
  <c r="AN15" i="4"/>
  <c r="W8" i="5"/>
  <c r="W16" i="5"/>
  <c r="R20" i="5"/>
  <c r="R7" i="5"/>
  <c r="R9" i="5"/>
  <c r="R10" i="5"/>
  <c r="R17" i="5"/>
  <c r="R18" i="5"/>
  <c r="R12" i="5"/>
  <c r="R11" i="5"/>
  <c r="R16" i="5"/>
  <c r="N11" i="5"/>
  <c r="N7" i="5"/>
  <c r="N15" i="5"/>
  <c r="N13" i="5"/>
  <c r="I12" i="5"/>
  <c r="I14" i="5"/>
  <c r="I13" i="5"/>
  <c r="AL17" i="5"/>
  <c r="AL15" i="5"/>
  <c r="AK17" i="5"/>
  <c r="AL13" i="5"/>
  <c r="AK9" i="5"/>
  <c r="AL9" i="5"/>
  <c r="I19" i="5"/>
  <c r="W14" i="5"/>
  <c r="W7" i="4"/>
  <c r="AL8" i="4"/>
  <c r="AL11" i="4"/>
  <c r="AN13" i="4"/>
  <c r="AL14" i="4"/>
  <c r="AJ8" i="5"/>
  <c r="I8" i="4"/>
  <c r="I10" i="4"/>
  <c r="W11" i="4"/>
  <c r="AN11" i="4"/>
  <c r="I13" i="4"/>
  <c r="AL17" i="4"/>
  <c r="AN19" i="4"/>
  <c r="N20" i="4"/>
  <c r="R17" i="4"/>
  <c r="AJ7" i="5"/>
  <c r="AL8" i="5"/>
  <c r="AM16" i="5"/>
  <c r="R9" i="4"/>
  <c r="AJ9" i="4"/>
  <c r="AJ12" i="4"/>
  <c r="AJ15" i="4"/>
  <c r="I16" i="4"/>
  <c r="AN17" i="4"/>
  <c r="AK20" i="4"/>
  <c r="I14" i="4"/>
  <c r="W20" i="4"/>
  <c r="AK7" i="5"/>
  <c r="AM14" i="5"/>
  <c r="AJ17" i="5"/>
  <c r="N19" i="5"/>
  <c r="AN10" i="4"/>
  <c r="AN16" i="4"/>
  <c r="AN11" i="5"/>
  <c r="AJ7" i="4"/>
  <c r="AN8" i="4"/>
  <c r="R12" i="4"/>
  <c r="N16" i="4"/>
  <c r="R18" i="4"/>
  <c r="N19" i="4"/>
  <c r="AN15" i="5"/>
  <c r="D21" i="4"/>
  <c r="AL7" i="4"/>
  <c r="N8" i="4"/>
  <c r="AJ8" i="4"/>
  <c r="AN9" i="4"/>
  <c r="R10" i="4"/>
  <c r="AK10" i="4"/>
  <c r="I11" i="4"/>
  <c r="AL12" i="4"/>
  <c r="R13" i="4"/>
  <c r="AJ13" i="4"/>
  <c r="N14" i="4"/>
  <c r="AJ14" i="4"/>
  <c r="R16" i="4"/>
  <c r="AK16" i="4"/>
  <c r="I17" i="4"/>
  <c r="AL18" i="4"/>
  <c r="R19" i="4"/>
  <c r="AJ19" i="4"/>
  <c r="I20" i="4"/>
  <c r="AN20" i="4"/>
  <c r="AN9" i="5"/>
  <c r="AK11" i="5"/>
  <c r="AM12" i="5"/>
  <c r="AN13" i="5"/>
  <c r="AJ15" i="5"/>
  <c r="AJ16" i="5"/>
  <c r="AN19" i="5"/>
  <c r="N10" i="4"/>
  <c r="AJ10" i="4"/>
  <c r="AN14" i="4"/>
  <c r="AJ16" i="4"/>
  <c r="AJ11" i="5"/>
  <c r="I7" i="4"/>
  <c r="AN7" i="4"/>
  <c r="R8" i="4"/>
  <c r="AK8" i="4"/>
  <c r="I9" i="4"/>
  <c r="AL10" i="4"/>
  <c r="R11" i="4"/>
  <c r="AJ11" i="4"/>
  <c r="I12" i="4"/>
  <c r="AN12" i="4"/>
  <c r="W13" i="4"/>
  <c r="AL13" i="4"/>
  <c r="R14" i="4"/>
  <c r="AK14" i="4"/>
  <c r="I15" i="4"/>
  <c r="AL16" i="4"/>
  <c r="AJ17" i="4"/>
  <c r="I18" i="4"/>
  <c r="AN18" i="4"/>
  <c r="W19" i="4"/>
  <c r="AL19" i="4"/>
  <c r="AJ20" i="4"/>
  <c r="R7" i="4"/>
  <c r="AN7" i="5"/>
  <c r="AJ9" i="5"/>
  <c r="AL11" i="5"/>
  <c r="AJ13" i="5"/>
  <c r="AL14" i="5"/>
  <c r="AK15" i="5"/>
  <c r="AL16" i="5"/>
  <c r="W18" i="5"/>
  <c r="AJ19" i="5"/>
  <c r="AN17" i="5"/>
  <c r="R19" i="5"/>
  <c r="AK19" i="5"/>
  <c r="I20" i="5"/>
  <c r="AK10" i="5"/>
  <c r="AM10" i="5"/>
  <c r="AL10" i="5"/>
  <c r="AJ10" i="5"/>
  <c r="AN10" i="5"/>
  <c r="D21" i="5"/>
  <c r="AN18" i="5"/>
  <c r="AN12" i="5"/>
  <c r="AJ18" i="5"/>
  <c r="AK20" i="5"/>
  <c r="AN20" i="5"/>
  <c r="W7" i="5"/>
  <c r="I8" i="5"/>
  <c r="I9" i="5"/>
  <c r="W12" i="5"/>
  <c r="AJ12" i="5"/>
  <c r="R13" i="5"/>
  <c r="R14" i="5"/>
  <c r="AN14" i="5"/>
  <c r="I16" i="5"/>
  <c r="I17" i="5"/>
  <c r="AL18" i="5"/>
  <c r="W20" i="5"/>
  <c r="AJ20" i="5"/>
  <c r="N20" i="5"/>
  <c r="N18" i="5"/>
  <c r="N16" i="5"/>
  <c r="N14" i="5"/>
  <c r="N12" i="5"/>
  <c r="N10" i="5"/>
  <c r="N8" i="5"/>
  <c r="R8" i="5"/>
  <c r="AK8" i="5"/>
  <c r="AD21" i="5"/>
  <c r="AN8" i="5"/>
  <c r="N9" i="5"/>
  <c r="I10" i="5"/>
  <c r="I11" i="5"/>
  <c r="AL12" i="5"/>
  <c r="AJ14" i="5"/>
  <c r="R15" i="5"/>
  <c r="AN16" i="5"/>
  <c r="N17" i="5"/>
  <c r="I18" i="5"/>
  <c r="AM18" i="5"/>
  <c r="AL20" i="5"/>
  <c r="I7" i="5"/>
  <c r="W19" i="5"/>
  <c r="W9" i="5"/>
  <c r="W11" i="5"/>
  <c r="W13" i="5"/>
  <c r="W15" i="5"/>
  <c r="W17" i="5"/>
  <c r="AM21" i="4"/>
  <c r="AR10" i="4" s="1"/>
  <c r="AK7" i="4"/>
  <c r="W8" i="4"/>
  <c r="N9" i="4"/>
  <c r="AK9" i="4"/>
  <c r="W10" i="4"/>
  <c r="N11" i="4"/>
  <c r="AK11" i="4"/>
  <c r="W12" i="4"/>
  <c r="N13" i="4"/>
  <c r="AK13" i="4"/>
  <c r="W14" i="4"/>
  <c r="N15" i="4"/>
  <c r="AK15" i="4"/>
  <c r="W16" i="4"/>
  <c r="N17" i="4"/>
  <c r="AK17" i="4"/>
  <c r="W18" i="4"/>
  <c r="AK19" i="4"/>
  <c r="AD21" i="4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7" i="1"/>
  <c r="BC21" i="1"/>
  <c r="BB21" i="1"/>
  <c r="AB11" i="4" l="1"/>
  <c r="AB8" i="4"/>
  <c r="AB16" i="4"/>
  <c r="AN21" i="4"/>
  <c r="AS15" i="4" s="1"/>
  <c r="AL21" i="4"/>
  <c r="AQ7" i="4" s="1"/>
  <c r="AJ21" i="4"/>
  <c r="AO8" i="4" s="1"/>
  <c r="AB12" i="5"/>
  <c r="AB19" i="5"/>
  <c r="AB20" i="5"/>
  <c r="AJ21" i="5"/>
  <c r="AO7" i="5" s="1"/>
  <c r="AQ13" i="4"/>
  <c r="AB20" i="4"/>
  <c r="AB15" i="4"/>
  <c r="AB17" i="4"/>
  <c r="AB14" i="4"/>
  <c r="AB18" i="5"/>
  <c r="AB14" i="5"/>
  <c r="AB7" i="4"/>
  <c r="AB12" i="4"/>
  <c r="AB9" i="4"/>
  <c r="AB19" i="4"/>
  <c r="AB18" i="4"/>
  <c r="AB10" i="4"/>
  <c r="AS14" i="4"/>
  <c r="AR9" i="4"/>
  <c r="AS12" i="4"/>
  <c r="AR14" i="4"/>
  <c r="AS18" i="4"/>
  <c r="AS7" i="4"/>
  <c r="AR20" i="4"/>
  <c r="AS9" i="4"/>
  <c r="AQ8" i="4"/>
  <c r="AR16" i="4"/>
  <c r="AB7" i="5"/>
  <c r="AR13" i="4"/>
  <c r="AR11" i="4"/>
  <c r="AS17" i="4"/>
  <c r="AS8" i="4"/>
  <c r="AB13" i="4"/>
  <c r="AR17" i="4"/>
  <c r="AR7" i="4"/>
  <c r="AR19" i="4"/>
  <c r="AR8" i="4"/>
  <c r="AR15" i="4"/>
  <c r="AB15" i="5"/>
  <c r="AB13" i="5"/>
  <c r="AB8" i="5"/>
  <c r="AB11" i="5"/>
  <c r="AL21" i="5"/>
  <c r="AQ18" i="5" s="1"/>
  <c r="AB10" i="5"/>
  <c r="AN21" i="5"/>
  <c r="AS20" i="5" s="1"/>
  <c r="AM21" i="5"/>
  <c r="AB17" i="5"/>
  <c r="AK21" i="5"/>
  <c r="AP8" i="5" s="1"/>
  <c r="AB16" i="5"/>
  <c r="AB9" i="5"/>
  <c r="AS11" i="4"/>
  <c r="AR18" i="4"/>
  <c r="AS10" i="4"/>
  <c r="AS13" i="4"/>
  <c r="AR12" i="4"/>
  <c r="AK21" i="4"/>
  <c r="AP19" i="4" s="1"/>
  <c r="AQ16" i="4"/>
  <c r="AQ17" i="4"/>
  <c r="AQ14" i="4"/>
  <c r="BA21" i="1"/>
  <c r="AM15" i="1"/>
  <c r="AD9" i="1"/>
  <c r="AM9" i="1" s="1"/>
  <c r="AD10" i="1"/>
  <c r="AK10" i="1" s="1"/>
  <c r="AD11" i="1"/>
  <c r="AN11" i="1" s="1"/>
  <c r="AD12" i="1"/>
  <c r="AN12" i="1" s="1"/>
  <c r="AD13" i="1"/>
  <c r="AD14" i="1"/>
  <c r="AD15" i="1"/>
  <c r="AN15" i="1" s="1"/>
  <c r="AD16" i="1"/>
  <c r="AL16" i="1" s="1"/>
  <c r="AD17" i="1"/>
  <c r="AJ17" i="1" s="1"/>
  <c r="AD18" i="1"/>
  <c r="AL18" i="1" s="1"/>
  <c r="AD19" i="1"/>
  <c r="AN19" i="1" s="1"/>
  <c r="AD20" i="1"/>
  <c r="AK20" i="1" s="1"/>
  <c r="AA8" i="1"/>
  <c r="AA9" i="1"/>
  <c r="AA10" i="1"/>
  <c r="AA11" i="1"/>
  <c r="AA12" i="1"/>
  <c r="AA14" i="1"/>
  <c r="AA15" i="1"/>
  <c r="AA16" i="1"/>
  <c r="AA17" i="1"/>
  <c r="AA18" i="1"/>
  <c r="AA19" i="1"/>
  <c r="AA2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AO7" i="4" l="1"/>
  <c r="AO18" i="4"/>
  <c r="AO10" i="4"/>
  <c r="AO14" i="4"/>
  <c r="AO20" i="4"/>
  <c r="AO17" i="4"/>
  <c r="AO12" i="4"/>
  <c r="AO13" i="4"/>
  <c r="AQ18" i="4"/>
  <c r="AS20" i="4"/>
  <c r="AO11" i="4"/>
  <c r="AO19" i="4"/>
  <c r="AO9" i="4"/>
  <c r="AS16" i="4"/>
  <c r="AO15" i="4"/>
  <c r="AO16" i="4"/>
  <c r="AS19" i="4"/>
  <c r="AO11" i="5"/>
  <c r="AQ11" i="4"/>
  <c r="AQ20" i="4"/>
  <c r="AQ19" i="4"/>
  <c r="AQ15" i="4"/>
  <c r="AQ10" i="4"/>
  <c r="AQ9" i="4"/>
  <c r="AQ12" i="4"/>
  <c r="AO20" i="5"/>
  <c r="AS12" i="5"/>
  <c r="AO10" i="5"/>
  <c r="AO16" i="5"/>
  <c r="AO12" i="5"/>
  <c r="AO13" i="5"/>
  <c r="AS10" i="5"/>
  <c r="AO14" i="5"/>
  <c r="AO8" i="5"/>
  <c r="AO18" i="5"/>
  <c r="AO17" i="5"/>
  <c r="AO15" i="5"/>
  <c r="AO9" i="5"/>
  <c r="AO19" i="5"/>
  <c r="AP20" i="5"/>
  <c r="AP11" i="4"/>
  <c r="AQ20" i="5"/>
  <c r="AB21" i="4"/>
  <c r="AC13" i="4" s="1"/>
  <c r="AP15" i="4"/>
  <c r="AS18" i="5"/>
  <c r="AQ12" i="5"/>
  <c r="AP7" i="4"/>
  <c r="AT7" i="4" s="1"/>
  <c r="AW7" i="4" s="1"/>
  <c r="AP17" i="4"/>
  <c r="AT17" i="4" s="1"/>
  <c r="AW17" i="4" s="1"/>
  <c r="AQ10" i="5"/>
  <c r="AP9" i="4"/>
  <c r="AR15" i="5"/>
  <c r="AR7" i="5"/>
  <c r="AR13" i="5"/>
  <c r="AR19" i="5"/>
  <c r="AR11" i="5"/>
  <c r="AR14" i="5"/>
  <c r="AR12" i="5"/>
  <c r="AR9" i="5"/>
  <c r="AR8" i="5"/>
  <c r="AR16" i="5"/>
  <c r="AR17" i="5"/>
  <c r="AR20" i="5"/>
  <c r="AR18" i="5"/>
  <c r="AS9" i="5"/>
  <c r="AS17" i="5"/>
  <c r="AS15" i="5"/>
  <c r="AS19" i="5"/>
  <c r="AS13" i="5"/>
  <c r="AS11" i="5"/>
  <c r="AS7" i="5"/>
  <c r="AB21" i="5"/>
  <c r="AC9" i="5" s="1"/>
  <c r="AR10" i="5"/>
  <c r="AP16" i="5"/>
  <c r="AP13" i="5"/>
  <c r="AP14" i="5"/>
  <c r="AP17" i="5"/>
  <c r="AP9" i="5"/>
  <c r="AP12" i="5"/>
  <c r="AP7" i="5"/>
  <c r="AP15" i="5"/>
  <c r="AP18" i="5"/>
  <c r="AP19" i="5"/>
  <c r="AP11" i="5"/>
  <c r="AS14" i="5"/>
  <c r="AS8" i="5"/>
  <c r="AQ9" i="5"/>
  <c r="AQ8" i="5"/>
  <c r="AQ11" i="5"/>
  <c r="AQ19" i="5"/>
  <c r="AQ7" i="5"/>
  <c r="AQ17" i="5"/>
  <c r="AQ14" i="5"/>
  <c r="AQ16" i="5"/>
  <c r="AQ13" i="5"/>
  <c r="AQ15" i="5"/>
  <c r="AS16" i="5"/>
  <c r="AP10" i="5"/>
  <c r="AP12" i="4"/>
  <c r="AP10" i="4"/>
  <c r="AP18" i="4"/>
  <c r="AP16" i="4"/>
  <c r="AP14" i="4"/>
  <c r="AT14" i="4" s="1"/>
  <c r="AP8" i="4"/>
  <c r="AT8" i="4" s="1"/>
  <c r="AW8" i="4" s="1"/>
  <c r="AP20" i="4"/>
  <c r="AP13" i="4"/>
  <c r="AT13" i="4" s="1"/>
  <c r="AM11" i="1"/>
  <c r="AJ12" i="1"/>
  <c r="AK15" i="1"/>
  <c r="AN17" i="1"/>
  <c r="AL19" i="1"/>
  <c r="AN16" i="1"/>
  <c r="AN20" i="1"/>
  <c r="AM20" i="1"/>
  <c r="AJ20" i="1"/>
  <c r="AL20" i="1"/>
  <c r="AL12" i="1"/>
  <c r="AJ16" i="1"/>
  <c r="AK11" i="1"/>
  <c r="AL11" i="1"/>
  <c r="AK19" i="1"/>
  <c r="AL15" i="1"/>
  <c r="AQ15" i="1" s="1"/>
  <c r="AM19" i="1"/>
  <c r="AM18" i="1"/>
  <c r="AN18" i="1"/>
  <c r="AJ18" i="1"/>
  <c r="AK18" i="1"/>
  <c r="AM14" i="1"/>
  <c r="AL14" i="1"/>
  <c r="AN14" i="1"/>
  <c r="AJ14" i="1"/>
  <c r="AK14" i="1"/>
  <c r="AM10" i="1"/>
  <c r="AL10" i="1"/>
  <c r="AN10" i="1"/>
  <c r="AJ10" i="1"/>
  <c r="AL17" i="1"/>
  <c r="AL13" i="1"/>
  <c r="AL9" i="1"/>
  <c r="AK9" i="1"/>
  <c r="AM13" i="1"/>
  <c r="AK16" i="1"/>
  <c r="AK12" i="1"/>
  <c r="AJ9" i="1"/>
  <c r="AK13" i="1"/>
  <c r="AM17" i="1"/>
  <c r="AM12" i="1"/>
  <c r="AN9" i="1"/>
  <c r="AJ13" i="1"/>
  <c r="AK17" i="1"/>
  <c r="AM16" i="1"/>
  <c r="AN13" i="1"/>
  <c r="AJ19" i="1"/>
  <c r="AJ15" i="1"/>
  <c r="AJ11" i="1"/>
  <c r="L21" i="1"/>
  <c r="AI21" i="1"/>
  <c r="AH21" i="1"/>
  <c r="AG21" i="1"/>
  <c r="AF21" i="1"/>
  <c r="AE21" i="1"/>
  <c r="U21" i="1"/>
  <c r="T21" i="1"/>
  <c r="S21" i="1"/>
  <c r="P21" i="1"/>
  <c r="O21" i="1"/>
  <c r="K21" i="1"/>
  <c r="J21" i="1"/>
  <c r="G21" i="1"/>
  <c r="F21" i="1"/>
  <c r="E21" i="1"/>
  <c r="C21" i="1"/>
  <c r="B21" i="1"/>
  <c r="AD8" i="1"/>
  <c r="AD7" i="1"/>
  <c r="AL7" i="1" s="1"/>
  <c r="AA7" i="1"/>
  <c r="X7" i="1"/>
  <c r="D7" i="1"/>
  <c r="AI4" i="1"/>
  <c r="AT10" i="4" l="1"/>
  <c r="AW10" i="4" s="1"/>
  <c r="AT9" i="4"/>
  <c r="AW9" i="4" s="1"/>
  <c r="AT16" i="4"/>
  <c r="AW16" i="4" s="1"/>
  <c r="AT11" i="4"/>
  <c r="AW11" i="4" s="1"/>
  <c r="AT18" i="4"/>
  <c r="AW18" i="4" s="1"/>
  <c r="AT20" i="4"/>
  <c r="AW20" i="4" s="1"/>
  <c r="AT19" i="4"/>
  <c r="AW19" i="4" s="1"/>
  <c r="AT12" i="4"/>
  <c r="AW12" i="4" s="1"/>
  <c r="AT15" i="4"/>
  <c r="AW15" i="4" s="1"/>
  <c r="AC7" i="4"/>
  <c r="AC8" i="4"/>
  <c r="AU8" i="4" s="1"/>
  <c r="AV8" i="4" s="1"/>
  <c r="AC15" i="4"/>
  <c r="AT20" i="5"/>
  <c r="AW20" i="5" s="1"/>
  <c r="AC10" i="4"/>
  <c r="AC17" i="4"/>
  <c r="AC19" i="4"/>
  <c r="AC11" i="4"/>
  <c r="AC10" i="5"/>
  <c r="AC20" i="4"/>
  <c r="AU20" i="4" s="1"/>
  <c r="AC16" i="4"/>
  <c r="AT18" i="5"/>
  <c r="AW18" i="5" s="1"/>
  <c r="AC17" i="5"/>
  <c r="AC18" i="4"/>
  <c r="AC9" i="4"/>
  <c r="AC12" i="4"/>
  <c r="AC14" i="4"/>
  <c r="AU14" i="4" s="1"/>
  <c r="AC16" i="5"/>
  <c r="AT15" i="5"/>
  <c r="AW15" i="5" s="1"/>
  <c r="AT17" i="5"/>
  <c r="AW17" i="5" s="1"/>
  <c r="AU7" i="4"/>
  <c r="AV7" i="4" s="1"/>
  <c r="AT8" i="5"/>
  <c r="AW8" i="5" s="1"/>
  <c r="AT11" i="5"/>
  <c r="AW11" i="5" s="1"/>
  <c r="AT14" i="5"/>
  <c r="AW14" i="5" s="1"/>
  <c r="AC8" i="5"/>
  <c r="AT16" i="5"/>
  <c r="AW16" i="5" s="1"/>
  <c r="AT10" i="5"/>
  <c r="AW10" i="5" s="1"/>
  <c r="AU17" i="4"/>
  <c r="AV17" i="4" s="1"/>
  <c r="AT12" i="5"/>
  <c r="AW12" i="5" s="1"/>
  <c r="AT19" i="5"/>
  <c r="AW19" i="5" s="1"/>
  <c r="AT9" i="5"/>
  <c r="AW9" i="5" s="1"/>
  <c r="AC19" i="5"/>
  <c r="AC13" i="5"/>
  <c r="AC12" i="5"/>
  <c r="AC14" i="5"/>
  <c r="AC15" i="5"/>
  <c r="AC7" i="5"/>
  <c r="AC20" i="5"/>
  <c r="AC18" i="5"/>
  <c r="AT7" i="5"/>
  <c r="AW7" i="5" s="1"/>
  <c r="AT13" i="5"/>
  <c r="AW13" i="5" s="1"/>
  <c r="AC11" i="5"/>
  <c r="AW14" i="4"/>
  <c r="AW13" i="4"/>
  <c r="AU13" i="4"/>
  <c r="W9" i="1"/>
  <c r="W13" i="1"/>
  <c r="W17" i="1"/>
  <c r="W10" i="1"/>
  <c r="W14" i="1"/>
  <c r="W18" i="1"/>
  <c r="W11" i="1"/>
  <c r="W15" i="1"/>
  <c r="W19" i="1"/>
  <c r="W12" i="1"/>
  <c r="W16" i="1"/>
  <c r="W20" i="1"/>
  <c r="R9" i="1"/>
  <c r="R13" i="1"/>
  <c r="R17" i="1"/>
  <c r="R10" i="1"/>
  <c r="R14" i="1"/>
  <c r="R18" i="1"/>
  <c r="R11" i="1"/>
  <c r="R15" i="1"/>
  <c r="R19" i="1"/>
  <c r="R12" i="1"/>
  <c r="R16" i="1"/>
  <c r="R20" i="1"/>
  <c r="N9" i="1"/>
  <c r="N13" i="1"/>
  <c r="N17" i="1"/>
  <c r="N10" i="1"/>
  <c r="N14" i="1"/>
  <c r="N18" i="1"/>
  <c r="N11" i="1"/>
  <c r="N15" i="1"/>
  <c r="N19" i="1"/>
  <c r="N12" i="1"/>
  <c r="N16" i="1"/>
  <c r="N20" i="1"/>
  <c r="I12" i="1"/>
  <c r="I16" i="1"/>
  <c r="I20" i="1"/>
  <c r="I9" i="1"/>
  <c r="I13" i="1"/>
  <c r="I17" i="1"/>
  <c r="I10" i="1"/>
  <c r="I14" i="1"/>
  <c r="I18" i="1"/>
  <c r="I11" i="1"/>
  <c r="I15" i="1"/>
  <c r="I19" i="1"/>
  <c r="AK8" i="1"/>
  <c r="AN8" i="1"/>
  <c r="AL8" i="1"/>
  <c r="AJ8" i="1"/>
  <c r="AM8" i="1"/>
  <c r="I7" i="1"/>
  <c r="AD21" i="1"/>
  <c r="I8" i="1"/>
  <c r="D21" i="1"/>
  <c r="W7" i="1"/>
  <c r="N8" i="1"/>
  <c r="W8" i="1"/>
  <c r="R7" i="1"/>
  <c r="R8" i="1"/>
  <c r="AJ7" i="1"/>
  <c r="AN7" i="1"/>
  <c r="N7" i="1"/>
  <c r="AK7" i="1"/>
  <c r="AM7" i="1"/>
  <c r="AU10" i="4" l="1"/>
  <c r="AV10" i="4" s="1"/>
  <c r="AU9" i="4"/>
  <c r="AZ9" i="4" s="1"/>
  <c r="AU15" i="5"/>
  <c r="AV15" i="5" s="1"/>
  <c r="AU11" i="4"/>
  <c r="AZ11" i="4" s="1"/>
  <c r="AU18" i="4"/>
  <c r="AV18" i="4" s="1"/>
  <c r="AU16" i="4"/>
  <c r="AW21" i="4"/>
  <c r="AU19" i="4"/>
  <c r="AV19" i="4" s="1"/>
  <c r="AU15" i="4"/>
  <c r="AV15" i="4" s="1"/>
  <c r="AU12" i="4"/>
  <c r="AV12" i="4" s="1"/>
  <c r="AU20" i="5"/>
  <c r="AZ20" i="5" s="1"/>
  <c r="AZ7" i="4"/>
  <c r="AZ8" i="4"/>
  <c r="AU18" i="5"/>
  <c r="AZ18" i="5" s="1"/>
  <c r="AU12" i="5"/>
  <c r="AZ12" i="5" s="1"/>
  <c r="AZ17" i="4"/>
  <c r="AU17" i="5"/>
  <c r="AV17" i="5" s="1"/>
  <c r="AU8" i="5"/>
  <c r="AV8" i="5" s="1"/>
  <c r="AU10" i="5"/>
  <c r="AV10" i="5" s="1"/>
  <c r="AU19" i="5"/>
  <c r="AV19" i="5" s="1"/>
  <c r="AU11" i="5"/>
  <c r="AV11" i="5" s="1"/>
  <c r="AU7" i="5"/>
  <c r="AV7" i="5" s="1"/>
  <c r="AU14" i="5"/>
  <c r="AZ14" i="5" s="1"/>
  <c r="AU16" i="5"/>
  <c r="AV16" i="5" s="1"/>
  <c r="AW21" i="5"/>
  <c r="AU13" i="5"/>
  <c r="AZ15" i="5"/>
  <c r="AU9" i="5"/>
  <c r="AV20" i="4"/>
  <c r="AZ20" i="4"/>
  <c r="AV13" i="4"/>
  <c r="AZ13" i="4"/>
  <c r="AV16" i="4"/>
  <c r="AZ16" i="4"/>
  <c r="AV14" i="4"/>
  <c r="AZ14" i="4"/>
  <c r="AB19" i="1"/>
  <c r="AB14" i="1"/>
  <c r="AB9" i="1"/>
  <c r="AB15" i="1"/>
  <c r="AB10" i="1"/>
  <c r="AB20" i="1"/>
  <c r="AB11" i="1"/>
  <c r="AB17" i="1"/>
  <c r="AB16" i="1"/>
  <c r="AB18" i="1"/>
  <c r="AB13" i="1"/>
  <c r="AB12" i="1"/>
  <c r="AB8" i="1"/>
  <c r="AB7" i="1"/>
  <c r="AJ21" i="1"/>
  <c r="AO7" i="1" s="1"/>
  <c r="AM21" i="1"/>
  <c r="AR7" i="1" s="1"/>
  <c r="AK21" i="1"/>
  <c r="AP7" i="1" s="1"/>
  <c r="AN21" i="1"/>
  <c r="AS20" i="1" s="1"/>
  <c r="AL21" i="1"/>
  <c r="AZ10" i="4" l="1"/>
  <c r="AV9" i="4"/>
  <c r="AV11" i="4"/>
  <c r="AV18" i="5"/>
  <c r="AZ18" i="4"/>
  <c r="AZ12" i="4"/>
  <c r="AZ15" i="4"/>
  <c r="AZ19" i="4"/>
  <c r="AV20" i="5"/>
  <c r="AS18" i="1"/>
  <c r="AS19" i="1"/>
  <c r="AS16" i="1"/>
  <c r="AS17" i="1"/>
  <c r="AS14" i="1"/>
  <c r="AS15" i="1"/>
  <c r="AS12" i="1"/>
  <c r="AS13" i="1"/>
  <c r="AS10" i="1"/>
  <c r="AS11" i="1"/>
  <c r="AS7" i="1"/>
  <c r="AS9" i="1"/>
  <c r="AS8" i="1"/>
  <c r="AQ19" i="1"/>
  <c r="AQ20" i="1"/>
  <c r="AQ17" i="1"/>
  <c r="AQ18" i="1"/>
  <c r="AQ14" i="1"/>
  <c r="AQ16" i="1"/>
  <c r="AQ12" i="1"/>
  <c r="AQ13" i="1"/>
  <c r="AQ10" i="1"/>
  <c r="AQ11" i="1"/>
  <c r="AQ7" i="1"/>
  <c r="AQ9" i="1"/>
  <c r="AQ8" i="1"/>
  <c r="AV12" i="5"/>
  <c r="AZ10" i="5"/>
  <c r="AZ11" i="5"/>
  <c r="AZ8" i="5"/>
  <c r="AZ17" i="5"/>
  <c r="AV14" i="5"/>
  <c r="AV21" i="4"/>
  <c r="AZ16" i="5"/>
  <c r="AZ19" i="5"/>
  <c r="AZ7" i="5"/>
  <c r="AV9" i="5"/>
  <c r="AZ9" i="5"/>
  <c r="AV13" i="5"/>
  <c r="AZ13" i="5"/>
  <c r="AR20" i="1"/>
  <c r="AR11" i="1"/>
  <c r="AR9" i="1"/>
  <c r="AR19" i="1"/>
  <c r="AR15" i="1"/>
  <c r="AR16" i="1"/>
  <c r="AR13" i="1"/>
  <c r="AR12" i="1"/>
  <c r="AR10" i="1"/>
  <c r="AR18" i="1"/>
  <c r="AR17" i="1"/>
  <c r="AR14" i="1"/>
  <c r="AO20" i="1"/>
  <c r="AO17" i="1"/>
  <c r="AO12" i="1"/>
  <c r="AO16" i="1"/>
  <c r="AO14" i="1"/>
  <c r="AO10" i="1"/>
  <c r="AO19" i="1"/>
  <c r="AO15" i="1"/>
  <c r="AO13" i="1"/>
  <c r="AO9" i="1"/>
  <c r="AO11" i="1"/>
  <c r="AO18" i="1"/>
  <c r="AP8" i="1"/>
  <c r="AP20" i="1"/>
  <c r="AP11" i="1"/>
  <c r="AP19" i="1"/>
  <c r="AP10" i="1"/>
  <c r="AP15" i="1"/>
  <c r="AP18" i="1"/>
  <c r="AP12" i="1"/>
  <c r="AP17" i="1"/>
  <c r="AP14" i="1"/>
  <c r="AP13" i="1"/>
  <c r="AP9" i="1"/>
  <c r="AP16" i="1"/>
  <c r="AB21" i="1"/>
  <c r="AO8" i="1"/>
  <c r="AR8" i="1"/>
  <c r="AZ21" i="4" l="1"/>
  <c r="AT7" i="1"/>
  <c r="AW7" i="1" s="1"/>
  <c r="AX3" i="4"/>
  <c r="AV21" i="5"/>
  <c r="AX3" i="5" s="1"/>
  <c r="AY7" i="5" s="1"/>
  <c r="AZ21" i="5"/>
  <c r="AC19" i="1"/>
  <c r="AC12" i="1"/>
  <c r="AC9" i="1"/>
  <c r="AC11" i="1"/>
  <c r="AC17" i="1"/>
  <c r="AC14" i="1"/>
  <c r="AC15" i="1"/>
  <c r="AC13" i="1"/>
  <c r="AC16" i="1"/>
  <c r="AC10" i="1"/>
  <c r="AC20" i="1"/>
  <c r="AC18" i="1"/>
  <c r="AT20" i="1"/>
  <c r="AT19" i="1"/>
  <c r="AT12" i="1"/>
  <c r="AT10" i="1"/>
  <c r="AT17" i="1"/>
  <c r="AW17" i="1" s="1"/>
  <c r="AT11" i="1"/>
  <c r="AT9" i="1"/>
  <c r="AT13" i="1"/>
  <c r="AT14" i="1"/>
  <c r="AT18" i="1"/>
  <c r="AT15" i="1"/>
  <c r="AT16" i="1"/>
  <c r="AT8" i="1"/>
  <c r="AW8" i="1" s="1"/>
  <c r="AC8" i="1"/>
  <c r="AC7" i="1"/>
  <c r="AU12" i="1" l="1"/>
  <c r="AZ12" i="1" s="1"/>
  <c r="BE12" i="1" s="1"/>
  <c r="AY10" i="4"/>
  <c r="AY12" i="4"/>
  <c r="AY13" i="4"/>
  <c r="AY11" i="4"/>
  <c r="AY16" i="4"/>
  <c r="AY8" i="4"/>
  <c r="AY9" i="4"/>
  <c r="AY18" i="4"/>
  <c r="AY15" i="4"/>
  <c r="AY17" i="4"/>
  <c r="AY14" i="4"/>
  <c r="AY19" i="4"/>
  <c r="AY20" i="4"/>
  <c r="AY7" i="4"/>
  <c r="AY11" i="5"/>
  <c r="AY8" i="5"/>
  <c r="AY15" i="5"/>
  <c r="AY9" i="5"/>
  <c r="AY14" i="5"/>
  <c r="AY13" i="5"/>
  <c r="AY18" i="5"/>
  <c r="AY16" i="5"/>
  <c r="AY12" i="5"/>
  <c r="AY19" i="5"/>
  <c r="AY17" i="5"/>
  <c r="AY20" i="5"/>
  <c r="AY10" i="5"/>
  <c r="AW12" i="1"/>
  <c r="AU19" i="1"/>
  <c r="AZ19" i="1" s="1"/>
  <c r="BE19" i="1" s="1"/>
  <c r="AU10" i="1"/>
  <c r="AZ10" i="1" s="1"/>
  <c r="BE10" i="1" s="1"/>
  <c r="AU17" i="1"/>
  <c r="AZ17" i="1" s="1"/>
  <c r="BE17" i="1" s="1"/>
  <c r="AW10" i="1"/>
  <c r="AW19" i="1"/>
  <c r="AW20" i="1"/>
  <c r="AU20" i="1"/>
  <c r="AW18" i="1"/>
  <c r="AU18" i="1"/>
  <c r="AW11" i="1"/>
  <c r="AU11" i="1"/>
  <c r="AW14" i="1"/>
  <c r="AU14" i="1"/>
  <c r="AW9" i="1"/>
  <c r="AU9" i="1"/>
  <c r="AW16" i="1"/>
  <c r="AU16" i="1"/>
  <c r="AW13" i="1"/>
  <c r="AU13" i="1"/>
  <c r="AW15" i="1"/>
  <c r="AU15" i="1"/>
  <c r="AU7" i="1"/>
  <c r="AV7" i="1" s="1"/>
  <c r="AU8" i="1"/>
  <c r="AZ8" i="1" s="1"/>
  <c r="BE8" i="1" s="1"/>
  <c r="AV12" i="1" l="1"/>
  <c r="AY21" i="4"/>
  <c r="AY21" i="5"/>
  <c r="AV19" i="1"/>
  <c r="AV17" i="1"/>
  <c r="AV10" i="1"/>
  <c r="AV20" i="1"/>
  <c r="AZ20" i="1"/>
  <c r="BE20" i="1" s="1"/>
  <c r="AW21" i="1"/>
  <c r="AV16" i="1"/>
  <c r="AZ16" i="1"/>
  <c r="BE16" i="1" s="1"/>
  <c r="AV14" i="1"/>
  <c r="AZ14" i="1"/>
  <c r="BE14" i="1" s="1"/>
  <c r="AV11" i="1"/>
  <c r="AZ11" i="1"/>
  <c r="BE11" i="1" s="1"/>
  <c r="AV15" i="1"/>
  <c r="AZ15" i="1"/>
  <c r="BE15" i="1" s="1"/>
  <c r="AV13" i="1"/>
  <c r="AZ13" i="1"/>
  <c r="BE13" i="1" s="1"/>
  <c r="AV9" i="1"/>
  <c r="AZ9" i="1"/>
  <c r="BE9" i="1" s="1"/>
  <c r="AV18" i="1"/>
  <c r="AZ18" i="1"/>
  <c r="BE18" i="1" s="1"/>
  <c r="AZ7" i="1"/>
  <c r="BE7" i="1" s="1"/>
  <c r="AV8" i="1"/>
  <c r="AZ21" i="1" l="1"/>
  <c r="BE21" i="1" s="1"/>
  <c r="AV21" i="1"/>
  <c r="AX3" i="1" s="1"/>
  <c r="AY8" i="1" l="1"/>
  <c r="AY17" i="1"/>
  <c r="AY18" i="1"/>
  <c r="AY12" i="1"/>
  <c r="AY11" i="1"/>
  <c r="AY15" i="1"/>
  <c r="AY16" i="1"/>
  <c r="AY9" i="1"/>
  <c r="AY19" i="1"/>
  <c r="AY20" i="1"/>
  <c r="AY13" i="1"/>
  <c r="AY10" i="1"/>
  <c r="AY14" i="1"/>
  <c r="AY7" i="1"/>
  <c r="AY21" i="1" l="1"/>
</calcChain>
</file>

<file path=xl/sharedStrings.xml><?xml version="1.0" encoding="utf-8"?>
<sst xmlns="http://schemas.openxmlformats.org/spreadsheetml/2006/main" count="275" uniqueCount="77">
  <si>
    <t>РАСЧЕТ РАСПРЕДЕЛЕНИЯ ДОТАЦИИ НА ВЫРАВНИВАНИЕ БЮДЖЕТНОЙ ОБЕСПЕЧЕННОСТИ ПОСЕЛЕНИЙ ИЗ БЮДЖЕТА МУНИЦИПАЛЬНОГО РАЙОНА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</si>
  <si>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</si>
  <si>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</si>
  <si>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</si>
  <si>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</si>
  <si>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  <r>
      <rPr>
        <sz val="11"/>
        <color indexed="8"/>
        <rFont val="Calibri"/>
        <family val="2"/>
        <charset val="204"/>
      </rPr>
      <t/>
    </r>
  </si>
  <si>
    <t>Наименование</t>
  </si>
  <si>
    <t>Нi (ч.п.н.)</t>
  </si>
  <si>
    <t>Нгi (чпгн)</t>
  </si>
  <si>
    <t>Нсi (чпсн)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</si>
  <si>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</si>
  <si>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</si>
  <si>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</si>
  <si>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</si>
  <si>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ПП</t>
  </si>
  <si>
    <t>Кi1</t>
  </si>
  <si>
    <t>Кi2</t>
  </si>
  <si>
    <t>Кi</t>
  </si>
  <si>
    <t>НПi</t>
  </si>
  <si>
    <t>ИНПi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</si>
  <si>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</si>
  <si>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культуры, физкультуры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</si>
  <si>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</si>
  <si>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</si>
  <si>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</si>
  <si>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в расчете на 1 жителя</t>
  </si>
  <si>
    <t>С учетом весовых коэффициентов</t>
  </si>
  <si>
    <t>Индекс расходов бюджета, ИБР</t>
  </si>
  <si>
    <t>БОi</t>
  </si>
  <si>
    <t>БОi*ИБРi*Нi</t>
  </si>
  <si>
    <t>ИБРi*Нi</t>
  </si>
  <si>
    <t>БОmax</t>
  </si>
  <si>
    <t>Дi</t>
  </si>
  <si>
    <t>Кпред.отч.i</t>
  </si>
  <si>
    <t>К.отч.i</t>
  </si>
  <si>
    <t>Kтек.i</t>
  </si>
  <si>
    <t>ПП1</t>
  </si>
  <si>
    <t>НПi1</t>
  </si>
  <si>
    <t>Епред.отч.i</t>
  </si>
  <si>
    <t>Е.отч.i</t>
  </si>
  <si>
    <t>Eтек.i</t>
  </si>
  <si>
    <t>ПП2</t>
  </si>
  <si>
    <t>НПi2</t>
  </si>
  <si>
    <t>ПП3</t>
  </si>
  <si>
    <t>НПi3</t>
  </si>
  <si>
    <t>ПП4</t>
  </si>
  <si>
    <t>НПi4</t>
  </si>
  <si>
    <t>содержание ОМСУ</t>
  </si>
  <si>
    <t>организация культуры, физкультуры</t>
  </si>
  <si>
    <t>дороги и благоустройство</t>
  </si>
  <si>
    <t>электро-, тепло-...</t>
  </si>
  <si>
    <t>софинансирование</t>
  </si>
  <si>
    <t>ИТОГО</t>
  </si>
  <si>
    <t xml:space="preserve"> Ангинское сельское поселение</t>
  </si>
  <si>
    <t xml:space="preserve"> Белоусовское сельское поселение</t>
  </si>
  <si>
    <t xml:space="preserve"> Бирюльское сельское поселение</t>
  </si>
  <si>
    <t xml:space="preserve"> Большетарельское сельское поселение</t>
  </si>
  <si>
    <t xml:space="preserve"> Бутаковское сельское поселение</t>
  </si>
  <si>
    <t xml:space="preserve"> Верхоленское сельское поселение</t>
  </si>
  <si>
    <t xml:space="preserve"> Вершино-Тутурское сельское поселение</t>
  </si>
  <si>
    <t xml:space="preserve"> Залогское сельское поселение</t>
  </si>
  <si>
    <t xml:space="preserve"> Зареченское сельское поселение</t>
  </si>
  <si>
    <t xml:space="preserve"> Карлукское сельское поселение</t>
  </si>
  <si>
    <t xml:space="preserve"> Качугское сельское поселение</t>
  </si>
  <si>
    <t xml:space="preserve"> Манзурское сельское поселение</t>
  </si>
  <si>
    <t xml:space="preserve"> Харбатовское сельское поселение</t>
  </si>
  <si>
    <t>Городское сельское поселение</t>
  </si>
  <si>
    <t>наши</t>
  </si>
  <si>
    <t>область</t>
  </si>
  <si>
    <t>общее</t>
  </si>
  <si>
    <t xml:space="preserve">ДОТАЦИЯ 2024 год </t>
  </si>
  <si>
    <t>по Приложению 9 к Закону Иркутской области от 22.10.2013 №74-ОЗ "О межбюджетных трансфертах и нормативах отчислений доходов в местные бюджеты" "Порядок определения общего объема и распределения дотаций на выравнивание бюджетной обеспеченности поселений из бюджета муниципального района" на 2023 -2025 гг.</t>
  </si>
  <si>
    <t xml:space="preserve">ДОТАЦИЯ 2023 год </t>
  </si>
  <si>
    <t xml:space="preserve">ДОТАЦИЯ 2025 год </t>
  </si>
  <si>
    <t>РФФП</t>
  </si>
  <si>
    <t>2023/1</t>
  </si>
  <si>
    <r>
      <t xml:space="preserve">Оценка расходов поселений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</si>
</sst>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_р_._-;_-@_-"/>
    <numFmt numFmtId="166" formatCode="0.0000"/>
    <numFmt numFmtId="167" formatCode="#,##0.000"/>
    <numFmt numFmtId="168" formatCode="0.0000000000000000"/>
    <numFmt numFmtId="169" formatCode="_-* #,##0.0_р_._-;\-* #,##0.0_р_._-;_-* &quot;-&quot;??_р_._-;_-@_-"/>
    <numFmt numFmtId="170" formatCode="_-* #,##0_р_._-;\-* #,##0_р_._-;_-* &quot;-&quot;??_р_._-;_-@_-"/>
    <numFmt numFmtId="171" formatCode="#,##0.0"/>
    <numFmt numFmtId="172" formatCode="0.0"/>
    <numFmt numFmtId="173" formatCode="0.000000000000000"/>
    <numFmt numFmtId="174" formatCode="_-* #,##0.0\ _₽_-;\-* #,##0.0\ _₽_-;_-* &quot;-&quot;?\ _₽_-;_-@_-"/>
    <numFmt numFmtId="175" formatCode="\$#,##0\ ;\(\$#,##0\)"/>
    <numFmt numFmtId="176" formatCode="#,##0\ _₽"/>
    <numFmt numFmtId="177" formatCode="#,##0.000000000000"/>
    <numFmt numFmtId="178" formatCode="_-* #,##0.000000000_р_._-;\-* #,##0.000000000_р_._-;_-* &quot;-&quot;??_р_._-;_-@_-"/>
    <numFmt numFmtId="179" formatCode="#,##0.0_ ;\-#,##0.0\ 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0"/>
      <color indexed="24"/>
      <name val="Arial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0"/>
      <name val="Times New Roman CYR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Segoe UI"/>
      <family val="2"/>
    </font>
    <font>
      <sz val="16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5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0" applyNumberFormat="0" applyAlignment="0" applyProtection="0"/>
    <xf numFmtId="0" fontId="22" fillId="23" borderId="11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0" applyNumberFormat="0" applyAlignment="0" applyProtection="0"/>
    <xf numFmtId="0" fontId="30" fillId="0" borderId="15" applyNumberFormat="0" applyFill="0" applyAlignment="0" applyProtection="0"/>
    <xf numFmtId="0" fontId="31" fillId="24" borderId="0" applyNumberFormat="0" applyBorder="0" applyAlignment="0" applyProtection="0"/>
    <xf numFmtId="0" fontId="15" fillId="0" borderId="0"/>
    <xf numFmtId="0" fontId="15" fillId="0" borderId="0"/>
    <xf numFmtId="0" fontId="32" fillId="0" borderId="0"/>
    <xf numFmtId="0" fontId="19" fillId="11" borderId="0" applyNumberFormat="0" applyBorder="0" applyAlignment="0" applyProtection="0"/>
    <xf numFmtId="0" fontId="15" fillId="25" borderId="16" applyNumberFormat="0" applyFont="0" applyAlignment="0" applyProtection="0"/>
    <xf numFmtId="0" fontId="15" fillId="25" borderId="16" applyNumberFormat="0" applyFont="0" applyAlignment="0" applyProtection="0"/>
    <xf numFmtId="0" fontId="33" fillId="22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8" fillId="22" borderId="17" applyNumberFormat="0" applyAlignment="0" applyProtection="0"/>
    <xf numFmtId="0" fontId="38" fillId="22" borderId="17" applyNumberFormat="0" applyAlignment="0" applyProtection="0"/>
    <xf numFmtId="0" fontId="39" fillId="22" borderId="10" applyNumberFormat="0" applyAlignment="0" applyProtection="0"/>
    <xf numFmtId="0" fontId="39" fillId="22" borderId="10" applyNumberFormat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23" borderId="11" applyNumberFormat="0" applyAlignment="0" applyProtection="0"/>
    <xf numFmtId="0" fontId="44" fillId="23" borderId="1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" fillId="0" borderId="0"/>
    <xf numFmtId="0" fontId="15" fillId="0" borderId="0"/>
    <xf numFmtId="0" fontId="51" fillId="0" borderId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25" borderId="16" applyNumberFormat="0" applyFont="0" applyAlignment="0" applyProtection="0"/>
    <xf numFmtId="0" fontId="15" fillId="25" borderId="16" applyNumberFormat="0" applyFont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1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9" fontId="15" fillId="0" borderId="0" applyFont="0" applyFill="0" applyBorder="0" applyAlignment="0" applyProtection="0"/>
    <xf numFmtId="0" fontId="1" fillId="26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19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9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9" fillId="11" borderId="0" applyNumberFormat="0" applyBorder="0" applyAlignment="0" applyProtection="0"/>
    <xf numFmtId="0" fontId="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6" fillId="13" borderId="0" applyNumberFormat="0" applyBorder="0" applyAlignment="0" applyProtection="0"/>
    <xf numFmtId="0" fontId="1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9" fillId="14" borderId="0" applyNumberFormat="0" applyBorder="0" applyAlignment="0" applyProtection="0"/>
    <xf numFmtId="0" fontId="6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19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53" fillId="0" borderId="0"/>
  </cellStyleXfs>
  <cellXfs count="113">
    <xf numFmtId="0" fontId="0" fillId="0" borderId="0" xfId="0"/>
    <xf numFmtId="0" fontId="5" fillId="0" borderId="0" xfId="0" applyFont="1" applyFill="1"/>
    <xf numFmtId="0" fontId="4" fillId="0" borderId="0" xfId="0" applyFont="1" applyFill="1"/>
    <xf numFmtId="14" fontId="4" fillId="0" borderId="0" xfId="0" applyNumberFormat="1" applyFont="1" applyFill="1"/>
    <xf numFmtId="3" fontId="4" fillId="0" borderId="0" xfId="0" applyNumberFormat="1" applyFont="1" applyFill="1"/>
    <xf numFmtId="0" fontId="11" fillId="0" borderId="0" xfId="0" applyFont="1" applyFill="1"/>
    <xf numFmtId="168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9" fontId="2" fillId="0" borderId="1" xfId="1" applyNumberFormat="1" applyFont="1" applyFill="1" applyBorder="1" applyAlignment="1">
      <alignment horizontal="center" vertical="center" wrapText="1"/>
    </xf>
    <xf numFmtId="169" fontId="2" fillId="0" borderId="1" xfId="1" applyNumberFormat="1" applyFont="1" applyFill="1" applyBorder="1"/>
    <xf numFmtId="166" fontId="3" fillId="0" borderId="1" xfId="0" applyNumberFormat="1" applyFont="1" applyFill="1" applyBorder="1"/>
    <xf numFmtId="171" fontId="12" fillId="0" borderId="1" xfId="3" applyNumberFormat="1" applyFont="1" applyFill="1" applyBorder="1" applyAlignment="1" applyProtection="1">
      <alignment shrinkToFit="1"/>
    </xf>
    <xf numFmtId="9" fontId="12" fillId="0" borderId="1" xfId="2" applyFont="1" applyFill="1" applyBorder="1" applyAlignment="1" applyProtection="1">
      <alignment shrinkToFit="1"/>
    </xf>
    <xf numFmtId="166" fontId="13" fillId="0" borderId="1" xfId="3" applyNumberFormat="1" applyFont="1" applyFill="1" applyBorder="1" applyAlignment="1">
      <alignment horizontal="right" shrinkToFit="1"/>
    </xf>
    <xf numFmtId="166" fontId="2" fillId="0" borderId="1" xfId="0" applyNumberFormat="1" applyFont="1" applyFill="1" applyBorder="1"/>
    <xf numFmtId="172" fontId="2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164" fontId="3" fillId="0" borderId="1" xfId="1" applyNumberFormat="1" applyFont="1" applyFill="1" applyBorder="1"/>
    <xf numFmtId="169" fontId="3" fillId="0" borderId="1" xfId="1" applyNumberFormat="1" applyFont="1" applyFill="1" applyBorder="1"/>
    <xf numFmtId="164" fontId="10" fillId="0" borderId="1" xfId="0" applyNumberFormat="1" applyFont="1" applyFill="1" applyBorder="1" applyAlignment="1">
      <alignment horizontal="right"/>
    </xf>
    <xf numFmtId="171" fontId="10" fillId="0" borderId="1" xfId="0" applyNumberFormat="1" applyFont="1" applyFill="1" applyBorder="1"/>
    <xf numFmtId="0" fontId="10" fillId="0" borderId="1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8" fillId="0" borderId="1" xfId="3" applyFont="1" applyFill="1" applyBorder="1" applyAlignment="1">
      <alignment horizontal="center"/>
    </xf>
    <xf numFmtId="167" fontId="3" fillId="0" borderId="1" xfId="3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5" fontId="4" fillId="0" borderId="0" xfId="1" applyNumberFormat="1" applyFont="1" applyFill="1"/>
    <xf numFmtId="0" fontId="10" fillId="0" borderId="0" xfId="0" applyFont="1" applyFill="1"/>
    <xf numFmtId="166" fontId="2" fillId="0" borderId="0" xfId="0" applyNumberFormat="1" applyFont="1" applyFill="1"/>
    <xf numFmtId="165" fontId="4" fillId="0" borderId="1" xfId="1" applyNumberFormat="1" applyFont="1" applyFill="1" applyBorder="1"/>
    <xf numFmtId="169" fontId="2" fillId="0" borderId="1" xfId="1" applyNumberFormat="1" applyFont="1" applyFill="1" applyBorder="1" applyAlignment="1">
      <alignment horizontal="center" vertical="center"/>
    </xf>
    <xf numFmtId="170" fontId="2" fillId="0" borderId="1" xfId="1" applyNumberFormat="1" applyFont="1" applyFill="1" applyBorder="1"/>
    <xf numFmtId="164" fontId="2" fillId="0" borderId="1" xfId="1" applyNumberFormat="1" applyFont="1" applyFill="1" applyBorder="1"/>
    <xf numFmtId="170" fontId="3" fillId="0" borderId="1" xfId="1" applyNumberFormat="1" applyFont="1" applyFill="1" applyBorder="1"/>
    <xf numFmtId="169" fontId="4" fillId="0" borderId="0" xfId="1" applyNumberFormat="1" applyFont="1" applyFill="1" applyBorder="1"/>
    <xf numFmtId="0" fontId="4" fillId="0" borderId="0" xfId="0" applyFont="1" applyFill="1" applyBorder="1"/>
    <xf numFmtId="174" fontId="5" fillId="0" borderId="0" xfId="0" applyNumberFormat="1" applyFont="1" applyFill="1" applyBorder="1"/>
    <xf numFmtId="174" fontId="2" fillId="0" borderId="0" xfId="0" applyNumberFormat="1" applyFont="1" applyFill="1"/>
    <xf numFmtId="49" fontId="1" fillId="2" borderId="8" xfId="0" applyNumberFormat="1" applyFont="1" applyFill="1" applyBorder="1" applyAlignment="1">
      <alignment horizontal="left" wrapText="1"/>
    </xf>
    <xf numFmtId="177" fontId="15" fillId="27" borderId="1" xfId="128" applyNumberFormat="1" applyFill="1" applyBorder="1" applyAlignment="1">
      <alignment vertical="center"/>
    </xf>
    <xf numFmtId="0" fontId="2" fillId="3" borderId="0" xfId="0" applyFont="1" applyFill="1"/>
    <xf numFmtId="43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78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wrapText="1"/>
    </xf>
    <xf numFmtId="0" fontId="12" fillId="0" borderId="1" xfId="2" applyNumberFormat="1" applyFont="1" applyFill="1" applyBorder="1" applyAlignment="1" applyProtection="1">
      <alignment shrinkToFit="1"/>
    </xf>
    <xf numFmtId="0" fontId="2" fillId="28" borderId="0" xfId="0" applyFont="1" applyFill="1"/>
    <xf numFmtId="176" fontId="52" fillId="29" borderId="1" xfId="0" applyNumberFormat="1" applyFont="1" applyFill="1" applyBorder="1" applyAlignment="1">
      <alignment vertical="center"/>
    </xf>
    <xf numFmtId="170" fontId="2" fillId="29" borderId="1" xfId="1" applyNumberFormat="1" applyFont="1" applyFill="1" applyBorder="1"/>
    <xf numFmtId="3" fontId="2" fillId="29" borderId="1" xfId="3" applyNumberFormat="1" applyFont="1" applyFill="1" applyBorder="1" applyAlignment="1" applyProtection="1">
      <alignment horizontal="right"/>
    </xf>
    <xf numFmtId="3" fontId="2" fillId="29" borderId="1" xfId="3" applyNumberFormat="1" applyFont="1" applyFill="1" applyBorder="1" applyProtection="1"/>
    <xf numFmtId="176" fontId="52" fillId="29" borderId="1" xfId="149" applyNumberFormat="1" applyFont="1" applyFill="1" applyBorder="1" applyAlignment="1">
      <alignment vertical="center"/>
    </xf>
    <xf numFmtId="172" fontId="12" fillId="0" borderId="1" xfId="3" applyNumberFormat="1" applyFont="1" applyFill="1" applyBorder="1" applyAlignment="1" applyProtection="1">
      <alignment shrinkToFit="1"/>
      <protection locked="0"/>
    </xf>
    <xf numFmtId="172" fontId="0" fillId="2" borderId="8" xfId="0" applyNumberFormat="1" applyFill="1" applyBorder="1" applyAlignment="1">
      <alignment horizontal="right"/>
    </xf>
    <xf numFmtId="172" fontId="0" fillId="2" borderId="19" xfId="0" applyNumberFormat="1" applyFill="1" applyBorder="1" applyAlignment="1">
      <alignment horizontal="right"/>
    </xf>
    <xf numFmtId="172" fontId="1" fillId="2" borderId="19" xfId="127" applyNumberFormat="1" applyFill="1" applyBorder="1" applyAlignment="1">
      <alignment horizontal="right"/>
    </xf>
    <xf numFmtId="172" fontId="1" fillId="0" borderId="1" xfId="0" applyNumberFormat="1" applyFont="1" applyBorder="1" applyAlignment="1">
      <alignment horizontal="right" wrapText="1"/>
    </xf>
    <xf numFmtId="172" fontId="1" fillId="2" borderId="1" xfId="127" applyNumberFormat="1" applyFill="1" applyBorder="1" applyAlignment="1">
      <alignment horizontal="right"/>
    </xf>
    <xf numFmtId="179" fontId="4" fillId="0" borderId="1" xfId="0" applyNumberFormat="1" applyFont="1" applyFill="1" applyBorder="1"/>
    <xf numFmtId="179" fontId="0" fillId="0" borderId="0" xfId="0" applyNumberFormat="1"/>
    <xf numFmtId="172" fontId="4" fillId="0" borderId="1" xfId="0" applyNumberFormat="1" applyFont="1" applyFill="1" applyBorder="1"/>
    <xf numFmtId="0" fontId="2" fillId="0" borderId="1" xfId="0" applyFont="1" applyFill="1" applyBorder="1"/>
    <xf numFmtId="171" fontId="4" fillId="0" borderId="0" xfId="0" applyNumberFormat="1" applyFont="1" applyFill="1"/>
    <xf numFmtId="171" fontId="5" fillId="0" borderId="0" xfId="0" applyNumberFormat="1" applyFont="1" applyFill="1"/>
    <xf numFmtId="179" fontId="3" fillId="0" borderId="1" xfId="1" applyNumberFormat="1" applyFont="1" applyFill="1" applyBorder="1"/>
    <xf numFmtId="179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49" fontId="54" fillId="2" borderId="8" xfId="0" applyNumberFormat="1" applyFont="1" applyFill="1" applyBorder="1" applyAlignment="1">
      <alignment horizontal="left" wrapText="1"/>
    </xf>
    <xf numFmtId="179" fontId="0" fillId="0" borderId="1" xfId="0" applyNumberFormat="1" applyBorder="1"/>
    <xf numFmtId="179" fontId="54" fillId="0" borderId="1" xfId="0" applyNumberFormat="1" applyFont="1" applyBorder="1"/>
    <xf numFmtId="179" fontId="5" fillId="0" borderId="1" xfId="0" applyNumberFormat="1" applyFont="1" applyFill="1" applyBorder="1"/>
    <xf numFmtId="172" fontId="0" fillId="0" borderId="0" xfId="0" applyNumberFormat="1"/>
    <xf numFmtId="172" fontId="0" fillId="0" borderId="1" xfId="0" applyNumberFormat="1" applyBorder="1"/>
    <xf numFmtId="169" fontId="2" fillId="29" borderId="2" xfId="1" applyNumberFormat="1" applyFont="1" applyFill="1" applyBorder="1" applyAlignment="1">
      <alignment horizontal="center" vertical="center" wrapText="1"/>
    </xf>
    <xf numFmtId="169" fontId="2" fillId="29" borderId="6" xfId="1" applyNumberFormat="1" applyFont="1" applyFill="1" applyBorder="1" applyAlignment="1">
      <alignment horizontal="center" vertical="center" wrapText="1"/>
    </xf>
    <xf numFmtId="169" fontId="2" fillId="29" borderId="7" xfId="1" applyNumberFormat="1" applyFont="1" applyFill="1" applyBorder="1" applyAlignment="1">
      <alignment horizontal="center" vertical="center" wrapText="1"/>
    </xf>
    <xf numFmtId="169" fontId="4" fillId="29" borderId="2" xfId="1" applyNumberFormat="1" applyFont="1" applyFill="1" applyBorder="1" applyAlignment="1">
      <alignment horizontal="center" vertical="center" wrapText="1"/>
    </xf>
    <xf numFmtId="169" fontId="4" fillId="29" borderId="6" xfId="1" applyNumberFormat="1" applyFont="1" applyFill="1" applyBorder="1" applyAlignment="1">
      <alignment horizontal="center" vertical="center" wrapText="1"/>
    </xf>
    <xf numFmtId="169" fontId="4" fillId="29" borderId="7" xfId="1" applyNumberFormat="1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2" fillId="0" borderId="6" xfId="3" applyNumberFormat="1" applyFont="1" applyFill="1" applyBorder="1" applyAlignment="1">
      <alignment horizontal="center" vertical="center" wrapText="1"/>
    </xf>
    <xf numFmtId="1" fontId="12" fillId="0" borderId="7" xfId="3" applyNumberFormat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49" fontId="12" fillId="0" borderId="3" xfId="3" applyNumberFormat="1" applyFont="1" applyFill="1" applyBorder="1" applyAlignment="1">
      <alignment horizontal="center" vertical="center" wrapText="1"/>
    </xf>
    <xf numFmtId="49" fontId="12" fillId="0" borderId="4" xfId="3" applyNumberFormat="1" applyFont="1" applyFill="1" applyBorder="1" applyAlignment="1">
      <alignment horizontal="center" vertical="center" wrapText="1"/>
    </xf>
    <xf numFmtId="49" fontId="12" fillId="0" borderId="5" xfId="3" applyNumberFormat="1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 wrapText="1"/>
    </xf>
    <xf numFmtId="49" fontId="13" fillId="0" borderId="7" xfId="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9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 10" xfId="291"/>
    <cellStyle name="20% - Акцент1 2" xfId="12"/>
    <cellStyle name="20% — акцент1 2" xfId="11"/>
    <cellStyle name="20% — акцент1 3" xfId="155"/>
    <cellStyle name="20% — акцент1 4" xfId="235"/>
    <cellStyle name="20% — акцент1 5" xfId="247"/>
    <cellStyle name="20% — акцент1 6" xfId="259"/>
    <cellStyle name="20% — акцент1 7" xfId="270"/>
    <cellStyle name="20% — акцент1 8" xfId="278"/>
    <cellStyle name="20% — акцент1 9" xfId="286"/>
    <cellStyle name="20% — акцент2 10" xfId="292"/>
    <cellStyle name="20% - Акцент2 2" xfId="14"/>
    <cellStyle name="20% — акцент2 2" xfId="13"/>
    <cellStyle name="20% — акцент2 3" xfId="157"/>
    <cellStyle name="20% — акцент2 4" xfId="240"/>
    <cellStyle name="20% — акцент2 5" xfId="252"/>
    <cellStyle name="20% — акцент2 6" xfId="264"/>
    <cellStyle name="20% — акцент2 7" xfId="272"/>
    <cellStyle name="20% — акцент2 8" xfId="280"/>
    <cellStyle name="20% — акцент2 9" xfId="287"/>
    <cellStyle name="20% — акцент3 10" xfId="290"/>
    <cellStyle name="20% - Акцент3 2" xfId="16"/>
    <cellStyle name="20% — акцент3 2" xfId="15"/>
    <cellStyle name="20% — акцент3 3" xfId="159"/>
    <cellStyle name="20% — акцент3 4" xfId="233"/>
    <cellStyle name="20% — акцент3 5" xfId="245"/>
    <cellStyle name="20% — акцент3 6" xfId="257"/>
    <cellStyle name="20% — акцент3 7" xfId="269"/>
    <cellStyle name="20% — акцент3 8" xfId="277"/>
    <cellStyle name="20% — акцент3 9" xfId="285"/>
    <cellStyle name="20% — акцент4 10" xfId="289"/>
    <cellStyle name="20% - Акцент4 2" xfId="18"/>
    <cellStyle name="20% — акцент4 2" xfId="17"/>
    <cellStyle name="20% — акцент4 3" xfId="160"/>
    <cellStyle name="20% — акцент4 4" xfId="232"/>
    <cellStyle name="20% — акцент4 5" xfId="244"/>
    <cellStyle name="20% — акцент4 6" xfId="256"/>
    <cellStyle name="20% — акцент4 7" xfId="268"/>
    <cellStyle name="20% — акцент4 8" xfId="276"/>
    <cellStyle name="20% — акцент4 9" xfId="284"/>
    <cellStyle name="20% — акцент5 10" xfId="281"/>
    <cellStyle name="20% - Акцент5 2" xfId="20"/>
    <cellStyle name="20% — акцент5 2" xfId="19"/>
    <cellStyle name="20% — акцент5 3" xfId="162"/>
    <cellStyle name="20% — акцент5 4" xfId="230"/>
    <cellStyle name="20% — акцент5 5" xfId="152"/>
    <cellStyle name="20% — акцент5 6" xfId="241"/>
    <cellStyle name="20% — акцент5 7" xfId="253"/>
    <cellStyle name="20% — акцент5 8" xfId="265"/>
    <cellStyle name="20% — акцент5 9" xfId="273"/>
    <cellStyle name="20% — акцент6 10" xfId="293"/>
    <cellStyle name="20% - Акцент6 2" xfId="22"/>
    <cellStyle name="20% — акцент6 2" xfId="21"/>
    <cellStyle name="20% — акцент6 3" xfId="163"/>
    <cellStyle name="20% — акцент6 4" xfId="243"/>
    <cellStyle name="20% — акцент6 5" xfId="255"/>
    <cellStyle name="20% — акцент6 6" xfId="267"/>
    <cellStyle name="20% — акцент6 7" xfId="275"/>
    <cellStyle name="20% — акцент6 8" xfId="283"/>
    <cellStyle name="20% — акцент6 9" xfId="288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40% — акцент1 10" xfId="279"/>
    <cellStyle name="40% - Акцент1 2" xfId="30"/>
    <cellStyle name="40% — акцент1 2" xfId="29"/>
    <cellStyle name="40% — акцент1 3" xfId="170"/>
    <cellStyle name="40% — акцент1 4" xfId="225"/>
    <cellStyle name="40% — акцент1 5" xfId="158"/>
    <cellStyle name="40% — акцент1 6" xfId="239"/>
    <cellStyle name="40% — акцент1 7" xfId="251"/>
    <cellStyle name="40% — акцент1 8" xfId="263"/>
    <cellStyle name="40% — акцент1 9" xfId="271"/>
    <cellStyle name="40% — акцент2 10" xfId="262"/>
    <cellStyle name="40% - Акцент2 2" xfId="32"/>
    <cellStyle name="40% — акцент2 2" xfId="31"/>
    <cellStyle name="40% — акцент2 3" xfId="171"/>
    <cellStyle name="40% — акцент2 4" xfId="224"/>
    <cellStyle name="40% — акцент2 5" xfId="161"/>
    <cellStyle name="40% — акцент2 6" xfId="231"/>
    <cellStyle name="40% — акцент2 7" xfId="151"/>
    <cellStyle name="40% — акцент2 8" xfId="238"/>
    <cellStyle name="40% — акцент2 9" xfId="250"/>
    <cellStyle name="40% — акцент3 10" xfId="261"/>
    <cellStyle name="40% - Акцент3 2" xfId="34"/>
    <cellStyle name="40% — акцент3 2" xfId="33"/>
    <cellStyle name="40% — акцент3 3" xfId="173"/>
    <cellStyle name="40% — акцент3 4" xfId="222"/>
    <cellStyle name="40% — акцент3 5" xfId="164"/>
    <cellStyle name="40% — акцент3 6" xfId="229"/>
    <cellStyle name="40% — акцент3 7" xfId="153"/>
    <cellStyle name="40% — акцент3 8" xfId="237"/>
    <cellStyle name="40% — акцент3 9" xfId="249"/>
    <cellStyle name="40% — акцент4 10" xfId="282"/>
    <cellStyle name="40% - Акцент4 2" xfId="36"/>
    <cellStyle name="40% — акцент4 2" xfId="35"/>
    <cellStyle name="40% — акцент4 3" xfId="175"/>
    <cellStyle name="40% — акцент4 4" xfId="220"/>
    <cellStyle name="40% — акцент4 5" xfId="166"/>
    <cellStyle name="40% — акцент4 6" xfId="242"/>
    <cellStyle name="40% — акцент4 7" xfId="254"/>
    <cellStyle name="40% — акцент4 8" xfId="266"/>
    <cellStyle name="40% — акцент4 9" xfId="274"/>
    <cellStyle name="40% — акцент5 10" xfId="260"/>
    <cellStyle name="40% - Акцент5 2" xfId="38"/>
    <cellStyle name="40% — акцент5 2" xfId="37"/>
    <cellStyle name="40% — акцент5 3" xfId="176"/>
    <cellStyle name="40% — акцент5 4" xfId="219"/>
    <cellStyle name="40% — акцент5 5" xfId="167"/>
    <cellStyle name="40% — акцент5 6" xfId="227"/>
    <cellStyle name="40% — акцент5 7" xfId="154"/>
    <cellStyle name="40% — акцент5 8" xfId="236"/>
    <cellStyle name="40% — акцент5 9" xfId="248"/>
    <cellStyle name="40% — акцент6 10" xfId="258"/>
    <cellStyle name="40% - Акцент6 2" xfId="40"/>
    <cellStyle name="40% — акцент6 2" xfId="39"/>
    <cellStyle name="40% — акцент6 3" xfId="178"/>
    <cellStyle name="40% — акцент6 4" xfId="217"/>
    <cellStyle name="40% — акцент6 5" xfId="169"/>
    <cellStyle name="40% — акцент6 6" xfId="226"/>
    <cellStyle name="40% — акцент6 7" xfId="156"/>
    <cellStyle name="40% — акцент6 8" xfId="234"/>
    <cellStyle name="40% — акцент6 9" xfId="246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— акцент1 10" xfId="228"/>
    <cellStyle name="60% - Акцент1 2" xfId="48"/>
    <cellStyle name="60% — акцент1 2" xfId="47"/>
    <cellStyle name="60% — акцент1 3" xfId="185"/>
    <cellStyle name="60% — акцент1 4" xfId="210"/>
    <cellStyle name="60% — акцент1 5" xfId="181"/>
    <cellStyle name="60% — акцент1 6" xfId="214"/>
    <cellStyle name="60% — акцент1 7" xfId="174"/>
    <cellStyle name="60% — акцент1 8" xfId="221"/>
    <cellStyle name="60% — акцент1 9" xfId="165"/>
    <cellStyle name="60% — акцент2 10" xfId="86"/>
    <cellStyle name="60% - Акцент2 2" xfId="50"/>
    <cellStyle name="60% — акцент2 2" xfId="49"/>
    <cellStyle name="60% — акцент2 3" xfId="187"/>
    <cellStyle name="60% — акцент2 4" xfId="208"/>
    <cellStyle name="60% — акцент2 5" xfId="182"/>
    <cellStyle name="60% — акцент2 6" xfId="213"/>
    <cellStyle name="60% — акцент2 7" xfId="177"/>
    <cellStyle name="60% — акцент2 8" xfId="218"/>
    <cellStyle name="60% — акцент2 9" xfId="168"/>
    <cellStyle name="60% — акцент3 10" xfId="223"/>
    <cellStyle name="60% - Акцент3 2" xfId="52"/>
    <cellStyle name="60% — акцент3 2" xfId="51"/>
    <cellStyle name="60% — акцент3 3" xfId="189"/>
    <cellStyle name="60% — акцент3 4" xfId="206"/>
    <cellStyle name="60% — акцент3 5" xfId="184"/>
    <cellStyle name="60% — акцент3 6" xfId="211"/>
    <cellStyle name="60% — акцент3 7" xfId="180"/>
    <cellStyle name="60% — акцент3 8" xfId="215"/>
    <cellStyle name="60% — акцент3 9" xfId="172"/>
    <cellStyle name="60% — акцент4 10" xfId="216"/>
    <cellStyle name="60% - Акцент4 2" xfId="54"/>
    <cellStyle name="60% — акцент4 2" xfId="53"/>
    <cellStyle name="60% — акцент4 3" xfId="191"/>
    <cellStyle name="60% — акцент4 4" xfId="204"/>
    <cellStyle name="60% — акцент4 5" xfId="188"/>
    <cellStyle name="60% — акцент4 6" xfId="207"/>
    <cellStyle name="60% — акцент4 7" xfId="183"/>
    <cellStyle name="60% — акцент4 8" xfId="212"/>
    <cellStyle name="60% — акцент4 9" xfId="179"/>
    <cellStyle name="60% — акцент5 10" xfId="209"/>
    <cellStyle name="60% - Акцент5 2" xfId="56"/>
    <cellStyle name="60% — акцент5 2" xfId="55"/>
    <cellStyle name="60% — акцент5 3" xfId="193"/>
    <cellStyle name="60% — акцент5 4" xfId="202"/>
    <cellStyle name="60% — акцент5 5" xfId="192"/>
    <cellStyle name="60% — акцент5 6" xfId="203"/>
    <cellStyle name="60% — акцент5 7" xfId="190"/>
    <cellStyle name="60% — акцент5 8" xfId="205"/>
    <cellStyle name="60% — акцент5 9" xfId="186"/>
    <cellStyle name="60% — акцент6 10" xfId="198"/>
    <cellStyle name="60% - Акцент6 2" xfId="58"/>
    <cellStyle name="60% — акцент6 2" xfId="57"/>
    <cellStyle name="60% — акцент6 3" xfId="194"/>
    <cellStyle name="60% — акцент6 4" xfId="201"/>
    <cellStyle name="60% — акцент6 5" xfId="195"/>
    <cellStyle name="60% — акцент6 6" xfId="200"/>
    <cellStyle name="60% — акцент6 7" xfId="196"/>
    <cellStyle name="60% — акцент6 8" xfId="199"/>
    <cellStyle name="60% — акцент6 9" xfId="197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ulation" xfId="66"/>
    <cellStyle name="Check Cell" xfId="67"/>
    <cellStyle name="Comma 2" xfId="68"/>
    <cellStyle name="Comma 2 2" xfId="69"/>
    <cellStyle name="Comma0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rmal 2" xfId="83"/>
    <cellStyle name="Normal 2 2" xfId="84"/>
    <cellStyle name="Normal_Alexander's Tables" xfId="85"/>
    <cellStyle name="Normal_ФФПМР_ИБР_Ставрополь_2006 4" xfId="3"/>
    <cellStyle name="Note" xfId="87"/>
    <cellStyle name="Note 2" xfId="88"/>
    <cellStyle name="Note_МР (ГО)" xfId="144"/>
    <cellStyle name="Output" xfId="89"/>
    <cellStyle name="Title" xfId="90"/>
    <cellStyle name="Total" xfId="91"/>
    <cellStyle name="Warning Text" xfId="92"/>
    <cellStyle name="Акцент1 2" xfId="94"/>
    <cellStyle name="Акцент1 3" xfId="93"/>
    <cellStyle name="Акцент2 2" xfId="96"/>
    <cellStyle name="Акцент2 3" xfId="95"/>
    <cellStyle name="Акцент3 2" xfId="98"/>
    <cellStyle name="Акцент3 3" xfId="97"/>
    <cellStyle name="Акцент4 2" xfId="100"/>
    <cellStyle name="Акцент4 3" xfId="99"/>
    <cellStyle name="Акцент5 2" xfId="102"/>
    <cellStyle name="Акцент5 3" xfId="101"/>
    <cellStyle name="Акцент6 2" xfId="104"/>
    <cellStyle name="Акцент6 3" xfId="103"/>
    <cellStyle name="Ввод  2" xfId="106"/>
    <cellStyle name="Ввод  3" xfId="105"/>
    <cellStyle name="Вывод 2" xfId="108"/>
    <cellStyle name="Вывод 3" xfId="107"/>
    <cellStyle name="Вычисление 2" xfId="110"/>
    <cellStyle name="Вычисление 3" xfId="109"/>
    <cellStyle name="Заголовок 1 2" xfId="112"/>
    <cellStyle name="Заголовок 1 3" xfId="111"/>
    <cellStyle name="Заголовок 2 2" xfId="114"/>
    <cellStyle name="Заголовок 2 3" xfId="113"/>
    <cellStyle name="Заголовок 3 2" xfId="116"/>
    <cellStyle name="Заголовок 3 3" xfId="115"/>
    <cellStyle name="Заголовок 4 2" xfId="118"/>
    <cellStyle name="Заголовок 4 3" xfId="117"/>
    <cellStyle name="Итог 2" xfId="120"/>
    <cellStyle name="Итог 3" xfId="119"/>
    <cellStyle name="Контрольная ячейка 2" xfId="122"/>
    <cellStyle name="Контрольная ячейка 3" xfId="121"/>
    <cellStyle name="Название 2" xfId="124"/>
    <cellStyle name="Название 3" xfId="123"/>
    <cellStyle name="Нейтральный 2" xfId="126"/>
    <cellStyle name="Нейтральный 3" xfId="125"/>
    <cellStyle name="Обычный" xfId="0" builtinId="0"/>
    <cellStyle name="Обычный 2" xfId="127"/>
    <cellStyle name="Обычный 2 2" xfId="145"/>
    <cellStyle name="Обычный 2 3" xfId="149"/>
    <cellStyle name="Обычный 3" xfId="128"/>
    <cellStyle name="Обычный 4" xfId="129"/>
    <cellStyle name="Обычный 5" xfId="4"/>
    <cellStyle name="Обычный 6" xfId="294"/>
    <cellStyle name="Обычный 7 4" xfId="150"/>
    <cellStyle name="Плохой 2" xfId="131"/>
    <cellStyle name="Плохой 3" xfId="130"/>
    <cellStyle name="Пояснение 2" xfId="133"/>
    <cellStyle name="Пояснение 3" xfId="132"/>
    <cellStyle name="Примечание 2" xfId="135"/>
    <cellStyle name="Примечание 3" xfId="134"/>
    <cellStyle name="Процентный" xfId="2" builtinId="5"/>
    <cellStyle name="Процентный 2" xfId="143"/>
    <cellStyle name="Процентный 3" xfId="146"/>
    <cellStyle name="Связанная ячейка 2" xfId="137"/>
    <cellStyle name="Связанная ячейка 3" xfId="136"/>
    <cellStyle name="Стиль 1" xfId="138"/>
    <cellStyle name="Текст предупреждения 2" xfId="140"/>
    <cellStyle name="Текст предупреждения 3" xfId="139"/>
    <cellStyle name="Финансовый" xfId="1" builtinId="3"/>
    <cellStyle name="Финансовый 2" xfId="147"/>
    <cellStyle name="Финансовый 3" xfId="148"/>
    <cellStyle name="Хороший 2" xfId="142"/>
    <cellStyle name="Хороший 3" xfId="14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5"/>
  <sheetViews>
    <sheetView view="pageBreakPreview" topLeftCell="A7" zoomScale="60" zoomScaleNormal="70" workbookViewId="0">
      <pane xSplit="1" topLeftCell="AC1" activePane="topRight" state="frozen"/>
      <selection activeCell="A3" sqref="A3"/>
      <selection pane="topRight" activeCell="AE21" sqref="AE21:AI21"/>
    </sheetView>
  </sheetViews>
  <sheetFormatPr defaultColWidth="9.140625" defaultRowHeight="15.75" x14ac:dyDescent="0.25"/>
  <cols>
    <col min="1" max="1" width="40.28515625" style="2" customWidth="1"/>
    <col min="2" max="2" width="13.7109375" style="2" customWidth="1"/>
    <col min="3" max="4" width="10.28515625" style="2" customWidth="1"/>
    <col min="5" max="5" width="16" style="2" customWidth="1"/>
    <col min="6" max="6" width="15.7109375" style="2" customWidth="1"/>
    <col min="7" max="7" width="13.28515625" style="2" customWidth="1"/>
    <col min="8" max="8" width="13.140625" style="2" customWidth="1"/>
    <col min="9" max="9" width="11.7109375" style="2" customWidth="1"/>
    <col min="10" max="10" width="13.42578125" style="2" customWidth="1"/>
    <col min="11" max="11" width="12.5703125" style="2" customWidth="1"/>
    <col min="12" max="12" width="11" style="2" customWidth="1"/>
    <col min="13" max="13" width="10.140625" style="2" customWidth="1"/>
    <col min="14" max="14" width="10.28515625" style="2" customWidth="1"/>
    <col min="15" max="15" width="12.140625" style="2" customWidth="1"/>
    <col min="16" max="16" width="12.28515625" style="2" customWidth="1"/>
    <col min="17" max="17" width="11.85546875" style="2" customWidth="1"/>
    <col min="18" max="18" width="10.140625" style="2" bestFit="1" customWidth="1"/>
    <col min="19" max="20" width="12.42578125" style="2" bestFit="1" customWidth="1"/>
    <col min="21" max="21" width="12.28515625" style="2" customWidth="1"/>
    <col min="22" max="22" width="11.42578125" style="2" customWidth="1"/>
    <col min="23" max="23" width="11.7109375" style="2" customWidth="1"/>
    <col min="24" max="24" width="12.85546875" style="2" customWidth="1"/>
    <col min="25" max="25" width="16.28515625" style="26" customWidth="1"/>
    <col min="26" max="26" width="16.42578125" style="26" customWidth="1"/>
    <col min="27" max="27" width="17.28515625" style="26" customWidth="1"/>
    <col min="28" max="28" width="13.85546875" style="2" customWidth="1"/>
    <col min="29" max="29" width="9.140625" style="1"/>
    <col min="30" max="30" width="11.7109375" style="29" customWidth="1"/>
    <col min="31" max="31" width="15.7109375" style="30" customWidth="1"/>
    <col min="32" max="32" width="17.7109375" style="30" customWidth="1"/>
    <col min="33" max="34" width="13.42578125" style="30" customWidth="1"/>
    <col min="35" max="35" width="17.7109375" style="30" customWidth="1"/>
    <col min="36" max="40" width="9.140625" style="1"/>
    <col min="41" max="46" width="9.140625" style="29"/>
    <col min="47" max="47" width="9.140625" style="2"/>
    <col min="48" max="49" width="9.140625" style="1"/>
    <col min="50" max="50" width="23.42578125" style="1" customWidth="1"/>
    <col min="51" max="51" width="14.7109375" style="1" customWidth="1"/>
    <col min="52" max="52" width="17.140625" style="2" customWidth="1"/>
    <col min="53" max="53" width="15.42578125" style="2" hidden="1" customWidth="1"/>
    <col min="54" max="54" width="18.28515625" style="2" hidden="1" customWidth="1"/>
    <col min="55" max="55" width="13.140625" style="2" hidden="1" customWidth="1"/>
    <col min="56" max="56" width="12.42578125" customWidth="1"/>
    <col min="57" max="57" width="15.85546875" hidden="1" customWidth="1"/>
    <col min="58" max="58" width="15.7109375" customWidth="1"/>
    <col min="59" max="59" width="12.42578125" hidden="1" customWidth="1"/>
    <col min="60" max="60" width="9.140625" style="2" hidden="1" customWidth="1"/>
    <col min="61" max="61" width="12.42578125" style="2" hidden="1" customWidth="1"/>
    <col min="62" max="62" width="32" style="2" hidden="1" customWidth="1"/>
    <col min="63" max="63" width="9.140625" style="2" hidden="1" customWidth="1"/>
    <col min="64" max="64" width="16.28515625" style="2" customWidth="1"/>
    <col min="65" max="16384" width="9.140625" style="2"/>
  </cols>
  <sheetData>
    <row r="1" spans="1:64" s="26" customFormat="1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X1" s="2"/>
      <c r="AB1" s="2"/>
      <c r="AC1" s="1"/>
      <c r="AD1" s="29"/>
      <c r="AE1" s="30"/>
      <c r="AF1" s="30"/>
      <c r="AG1" s="30"/>
      <c r="AH1" s="30"/>
      <c r="AI1" s="30"/>
      <c r="AJ1" s="1"/>
      <c r="AK1" s="1"/>
      <c r="AL1" s="1"/>
      <c r="AM1" s="1"/>
      <c r="AN1" s="1"/>
      <c r="AO1" s="29"/>
      <c r="AP1" s="29"/>
      <c r="AQ1" s="29"/>
      <c r="AR1" s="29"/>
      <c r="AS1" s="29"/>
      <c r="AT1" s="29"/>
      <c r="AU1" s="2"/>
      <c r="AV1" s="1"/>
      <c r="AW1" s="1"/>
      <c r="AX1" s="1"/>
      <c r="AY1" s="1"/>
      <c r="AZ1" s="2"/>
    </row>
    <row r="2" spans="1:64" s="26" customFormat="1" ht="51.75" customHeight="1" x14ac:dyDescent="0.25">
      <c r="B2" s="107" t="s">
        <v>71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X2" s="2"/>
      <c r="AB2" s="2"/>
      <c r="AC2" s="1"/>
      <c r="AD2" s="29"/>
      <c r="AE2" s="31"/>
      <c r="AF2" s="31"/>
      <c r="AG2" s="31"/>
      <c r="AH2" s="31"/>
      <c r="AI2" s="31"/>
      <c r="AJ2" s="1"/>
      <c r="AK2" s="1"/>
      <c r="AL2" s="1"/>
      <c r="AM2" s="1"/>
      <c r="AN2" s="1"/>
      <c r="AO2" s="29"/>
      <c r="AP2" s="29"/>
      <c r="AQ2" s="29"/>
      <c r="AR2" s="29"/>
      <c r="AS2" s="29"/>
      <c r="AT2" s="29"/>
      <c r="AU2" s="2"/>
      <c r="AV2" s="1"/>
      <c r="AW2" s="1"/>
      <c r="AX2" s="1"/>
      <c r="AY2" s="1"/>
      <c r="AZ2" s="2"/>
    </row>
    <row r="3" spans="1:64" ht="27" x14ac:dyDescent="0.45">
      <c r="AE3" s="27" t="s">
        <v>1</v>
      </c>
      <c r="AF3" s="27" t="s">
        <v>2</v>
      </c>
      <c r="AG3" s="27" t="s">
        <v>3</v>
      </c>
      <c r="AH3" s="27" t="s">
        <v>4</v>
      </c>
      <c r="AI3" s="27" t="s">
        <v>5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X3" s="33">
        <f>(AZ23/(X7/B21)+AV21)/AW21</f>
        <v>19.953261429300092</v>
      </c>
      <c r="AY3" s="2"/>
    </row>
    <row r="4" spans="1:64" x14ac:dyDescent="0.25">
      <c r="B4" s="3"/>
      <c r="G4" s="4"/>
      <c r="Y4" s="2"/>
      <c r="Z4" s="2"/>
      <c r="AA4" s="2"/>
      <c r="AD4" s="1"/>
      <c r="AE4" s="34">
        <v>0.47399999999999998</v>
      </c>
      <c r="AF4" s="34">
        <v>0.48299999999999998</v>
      </c>
      <c r="AG4" s="34">
        <v>7.0000000000000001E-3</v>
      </c>
      <c r="AH4" s="34">
        <v>3.4000000000000002E-2</v>
      </c>
      <c r="AI4" s="28">
        <f>1-AE4-AF4-AG4-AH4</f>
        <v>2.0000000000000365E-3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Z4" s="6"/>
    </row>
    <row r="5" spans="1:64" ht="15.75" customHeight="1" x14ac:dyDescent="0.25">
      <c r="A5" s="108" t="s">
        <v>6</v>
      </c>
      <c r="B5" s="103" t="s">
        <v>7</v>
      </c>
      <c r="C5" s="103" t="s">
        <v>8</v>
      </c>
      <c r="D5" s="103" t="s">
        <v>9</v>
      </c>
      <c r="E5" s="110" t="s">
        <v>10</v>
      </c>
      <c r="F5" s="111"/>
      <c r="G5" s="111"/>
      <c r="H5" s="111"/>
      <c r="I5" s="112"/>
      <c r="J5" s="110" t="s">
        <v>11</v>
      </c>
      <c r="K5" s="111"/>
      <c r="L5" s="111"/>
      <c r="M5" s="111"/>
      <c r="N5" s="112"/>
      <c r="O5" s="110" t="s">
        <v>12</v>
      </c>
      <c r="P5" s="111"/>
      <c r="Q5" s="111"/>
      <c r="R5" s="112"/>
      <c r="S5" s="110" t="s">
        <v>13</v>
      </c>
      <c r="T5" s="111"/>
      <c r="U5" s="111"/>
      <c r="V5" s="111"/>
      <c r="W5" s="112"/>
      <c r="X5" s="88" t="s">
        <v>14</v>
      </c>
      <c r="Y5" s="88" t="s">
        <v>15</v>
      </c>
      <c r="Z5" s="88" t="s">
        <v>16</v>
      </c>
      <c r="AA5" s="88" t="s">
        <v>17</v>
      </c>
      <c r="AB5" s="88" t="s">
        <v>18</v>
      </c>
      <c r="AC5" s="101" t="s">
        <v>19</v>
      </c>
      <c r="AD5" s="103" t="s">
        <v>7</v>
      </c>
      <c r="AE5" s="91" t="s">
        <v>20</v>
      </c>
      <c r="AF5" s="91" t="s">
        <v>21</v>
      </c>
      <c r="AG5" s="91" t="s">
        <v>22</v>
      </c>
      <c r="AH5" s="91" t="s">
        <v>76</v>
      </c>
      <c r="AI5" s="91" t="s">
        <v>24</v>
      </c>
      <c r="AJ5" s="93" t="s">
        <v>25</v>
      </c>
      <c r="AK5" s="94"/>
      <c r="AL5" s="94"/>
      <c r="AM5" s="94"/>
      <c r="AN5" s="95"/>
      <c r="AO5" s="96" t="s">
        <v>26</v>
      </c>
      <c r="AP5" s="97"/>
      <c r="AQ5" s="97"/>
      <c r="AR5" s="97"/>
      <c r="AS5" s="98"/>
      <c r="AT5" s="99" t="s">
        <v>27</v>
      </c>
      <c r="AU5" s="90" t="s">
        <v>28</v>
      </c>
      <c r="AV5" s="88" t="s">
        <v>29</v>
      </c>
      <c r="AW5" s="90" t="s">
        <v>30</v>
      </c>
      <c r="AX5" s="90" t="s">
        <v>31</v>
      </c>
      <c r="AY5" s="88" t="s">
        <v>32</v>
      </c>
      <c r="AZ5" s="90" t="s">
        <v>72</v>
      </c>
      <c r="BA5" s="105">
        <v>2021</v>
      </c>
      <c r="BB5" s="105"/>
      <c r="BC5" s="105"/>
      <c r="BD5" s="51"/>
      <c r="BE5" s="51"/>
      <c r="BF5" s="51"/>
    </row>
    <row r="6" spans="1:64" s="9" customFormat="1" ht="71.25" customHeight="1" x14ac:dyDescent="0.25">
      <c r="A6" s="109"/>
      <c r="B6" s="104"/>
      <c r="C6" s="104"/>
      <c r="D6" s="104"/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35" t="s">
        <v>38</v>
      </c>
      <c r="K6" s="35" t="s">
        <v>39</v>
      </c>
      <c r="L6" s="35" t="s">
        <v>40</v>
      </c>
      <c r="M6" s="7" t="s">
        <v>41</v>
      </c>
      <c r="N6" s="7" t="s">
        <v>42</v>
      </c>
      <c r="O6" s="7" t="s">
        <v>38</v>
      </c>
      <c r="P6" s="7" t="s">
        <v>39</v>
      </c>
      <c r="Q6" s="7" t="s">
        <v>43</v>
      </c>
      <c r="R6" s="7" t="s">
        <v>44</v>
      </c>
      <c r="S6" s="7" t="s">
        <v>38</v>
      </c>
      <c r="T6" s="7" t="s">
        <v>39</v>
      </c>
      <c r="U6" s="7" t="s">
        <v>40</v>
      </c>
      <c r="V6" s="7" t="s">
        <v>45</v>
      </c>
      <c r="W6" s="7" t="s">
        <v>46</v>
      </c>
      <c r="X6" s="89"/>
      <c r="Y6" s="89"/>
      <c r="Z6" s="89"/>
      <c r="AA6" s="89"/>
      <c r="AB6" s="89"/>
      <c r="AC6" s="102"/>
      <c r="AD6" s="104"/>
      <c r="AE6" s="92"/>
      <c r="AF6" s="92"/>
      <c r="AG6" s="92"/>
      <c r="AH6" s="92"/>
      <c r="AI6" s="92"/>
      <c r="AJ6" s="8" t="s">
        <v>47</v>
      </c>
      <c r="AK6" s="8" t="s">
        <v>48</v>
      </c>
      <c r="AL6" s="8" t="s">
        <v>49</v>
      </c>
      <c r="AM6" s="8" t="s">
        <v>50</v>
      </c>
      <c r="AN6" s="8" t="s">
        <v>51</v>
      </c>
      <c r="AO6" s="8" t="s">
        <v>47</v>
      </c>
      <c r="AP6" s="8" t="s">
        <v>48</v>
      </c>
      <c r="AQ6" s="8" t="s">
        <v>49</v>
      </c>
      <c r="AR6" s="8" t="s">
        <v>50</v>
      </c>
      <c r="AS6" s="8" t="s">
        <v>51</v>
      </c>
      <c r="AT6" s="100"/>
      <c r="AU6" s="90"/>
      <c r="AV6" s="89"/>
      <c r="AW6" s="90"/>
      <c r="AX6" s="90"/>
      <c r="AY6" s="89"/>
      <c r="AZ6" s="90"/>
      <c r="BA6" s="74" t="s">
        <v>69</v>
      </c>
      <c r="BB6" s="74" t="s">
        <v>67</v>
      </c>
      <c r="BC6" s="74" t="s">
        <v>68</v>
      </c>
      <c r="BD6" s="74"/>
      <c r="BE6" s="74"/>
      <c r="BF6" s="74">
        <v>2023</v>
      </c>
      <c r="BG6" s="9" t="s">
        <v>75</v>
      </c>
      <c r="BI6" s="9">
        <v>2022</v>
      </c>
    </row>
    <row r="7" spans="1:64" ht="35.1" customHeight="1" x14ac:dyDescent="0.3">
      <c r="A7" s="75" t="s">
        <v>53</v>
      </c>
      <c r="B7" s="56">
        <v>1071</v>
      </c>
      <c r="C7" s="36">
        <v>0</v>
      </c>
      <c r="D7" s="56">
        <f t="shared" ref="D7:D20" si="0">B7-C7</f>
        <v>1071</v>
      </c>
      <c r="E7" s="55">
        <v>6081.9538571428575</v>
      </c>
      <c r="F7" s="55">
        <v>7206.2901428571422</v>
      </c>
      <c r="G7" s="55">
        <v>4498.225571428572</v>
      </c>
      <c r="H7" s="81">
        <v>14983.2</v>
      </c>
      <c r="I7" s="10">
        <f>H$7*((0.3*E7/E$21)+(0.35*F7/F$21)+(0.35*G7/G$21))</f>
        <v>629.05923639910384</v>
      </c>
      <c r="J7" s="55">
        <v>107.652</v>
      </c>
      <c r="K7" s="55">
        <v>103.15</v>
      </c>
      <c r="L7" s="55">
        <v>72.046999999999997</v>
      </c>
      <c r="M7" s="81">
        <v>537.29999999999995</v>
      </c>
      <c r="N7" s="10">
        <f>M$7*((0.3*J7/J$21)+(0.35*K7/K$21)+(0.35*L7/L$21))</f>
        <v>54.950486424192505</v>
      </c>
      <c r="O7" s="55">
        <v>59.953000000000003</v>
      </c>
      <c r="P7" s="55">
        <v>68.147000000000006</v>
      </c>
      <c r="Q7" s="84">
        <v>1596.5</v>
      </c>
      <c r="R7" s="10">
        <f>Q$7*((0.45*O7/O$21)+(0.55*P7/P$21))</f>
        <v>79.627645851079691</v>
      </c>
      <c r="S7" s="55">
        <v>436.09699999999998</v>
      </c>
      <c r="T7" s="55">
        <v>504.733</v>
      </c>
      <c r="U7" s="55">
        <v>118.54600000000001</v>
      </c>
      <c r="V7" s="81">
        <v>8756.2999999999993</v>
      </c>
      <c r="W7" s="10">
        <f>V$7*((0.3*S7/S$21)+(0.35*T7/T$21)+(0.35*U7/U$21))</f>
        <v>431.5650686092406</v>
      </c>
      <c r="X7" s="81">
        <f>V7+Q7+M7+H7</f>
        <v>25873.3</v>
      </c>
      <c r="Y7" s="44">
        <v>0.8</v>
      </c>
      <c r="Z7" s="44">
        <v>2.1311170561962001E-3</v>
      </c>
      <c r="AA7" s="49">
        <f t="shared" ref="AA7:AA20" si="1">Y7*Z7</f>
        <v>1.7048936449569601E-3</v>
      </c>
      <c r="AB7" s="11">
        <f t="shared" ref="AB7" si="2">I7+N7+R7+W7</f>
        <v>1195.2024372836167</v>
      </c>
      <c r="AC7" s="12">
        <f>(AB7/B7)*(B$21/AB$21)*Y7</f>
        <v>0.57641681588672611</v>
      </c>
      <c r="AD7" s="36">
        <f t="shared" ref="AD7:AD20" si="3">B7</f>
        <v>1071</v>
      </c>
      <c r="AE7" s="51">
        <v>7224.9</v>
      </c>
      <c r="AF7" s="60">
        <v>8410</v>
      </c>
      <c r="AG7" s="61">
        <v>1</v>
      </c>
      <c r="AH7" s="61">
        <v>572</v>
      </c>
      <c r="AI7" s="61">
        <v>110</v>
      </c>
      <c r="AJ7" s="13">
        <f>IF(AD7=0, ,AE7/AD7)</f>
        <v>6.7459383753501401</v>
      </c>
      <c r="AK7" s="13">
        <f t="shared" ref="AK7:AK20" si="4">IF(AD7=0, ,AF7/AD7)</f>
        <v>7.852474323062558</v>
      </c>
      <c r="AL7" s="13">
        <f>IF(AD7=0, ,AG7/AD7)</f>
        <v>9.3370681605975728E-4</v>
      </c>
      <c r="AM7" s="13">
        <f t="shared" ref="AM7:AM20" si="5">IF(AD7=0, ,AH7/AD7)</f>
        <v>0.53408029878618113</v>
      </c>
      <c r="AN7" s="13">
        <f t="shared" ref="AN7:AN20" si="6">IF(AD7=0, ,AI7/AD7)</f>
        <v>0.10270774976657329</v>
      </c>
      <c r="AO7" s="14">
        <f>AJ7/AJ$21*AE$4</f>
        <v>0.15554734421833394</v>
      </c>
      <c r="AP7" s="14">
        <f>AK7/AK$21*AF$4</f>
        <v>0.22529992174591018</v>
      </c>
      <c r="AQ7" s="53">
        <f>IF(AL7=0,0,AL7/AL$21*AG$4)</f>
        <v>7.1787764095456409E-6</v>
      </c>
      <c r="AR7" s="14">
        <f>AM7/AM$21*AH$4</f>
        <v>9.2410840502443557E-3</v>
      </c>
      <c r="AS7" s="14">
        <f>IF(AN7=0,0,AN7/AN$21*AI$4)</f>
        <v>1.5503226931798644E-4</v>
      </c>
      <c r="AT7" s="15">
        <f>IF(AD7=0,0,AO7+AP7+AQ7+AR7+AS7)</f>
        <v>0.39025056106021605</v>
      </c>
      <c r="AU7" s="16">
        <f t="shared" ref="AU7:AU20" si="7">AC7/AT7</f>
        <v>1.4770428883452249</v>
      </c>
      <c r="AV7" s="17">
        <f t="shared" ref="AV7:AV20" si="8">AU7*AT7*B7</f>
        <v>617.34240981468361</v>
      </c>
      <c r="AW7" s="17">
        <f t="shared" ref="AW7:AW20" si="9">AT7*B7</f>
        <v>417.95835089549138</v>
      </c>
      <c r="AX7" s="87">
        <v>19.95317</v>
      </c>
      <c r="AY7" s="10">
        <f>IF((X$7/B$21)*(AX$3-AU7)*AT7*B7&lt;0,0,(X$7/B$21)*(AX$3-AU7)*AT7*B7)</f>
        <v>11960.558007451793</v>
      </c>
      <c r="AZ7" s="11">
        <f>ROUNDUP(IF((X$7/B$21*(AX$7-AU7)*AT7*B7)&lt;0,0,(X$7/B$21*(AX$7-AU7)*AT7*B7)),1)</f>
        <v>11960.5</v>
      </c>
      <c r="BA7" s="47">
        <f t="shared" ref="BA7:BA20" si="10">BB7+BC7</f>
        <v>9484.6</v>
      </c>
      <c r="BB7" s="46">
        <v>8743.7000000000007</v>
      </c>
      <c r="BC7" s="25">
        <v>740.9</v>
      </c>
      <c r="BD7" s="76">
        <v>293.10000000000002</v>
      </c>
      <c r="BE7" s="76">
        <f>AZ7+BD7</f>
        <v>12253.6</v>
      </c>
      <c r="BF7" s="77">
        <f>AZ7+BD7</f>
        <v>12253.6</v>
      </c>
      <c r="BG7" s="67">
        <v>11256.4</v>
      </c>
      <c r="BI7" s="70">
        <v>11125.54</v>
      </c>
      <c r="BJ7" s="43" t="s">
        <v>53</v>
      </c>
      <c r="BK7" s="2">
        <v>12253.6</v>
      </c>
      <c r="BL7" s="2">
        <v>12253.6</v>
      </c>
    </row>
    <row r="8" spans="1:64" ht="35.1" customHeight="1" x14ac:dyDescent="0.3">
      <c r="A8" s="75" t="s">
        <v>54</v>
      </c>
      <c r="B8" s="56">
        <v>380</v>
      </c>
      <c r="C8" s="36">
        <v>0</v>
      </c>
      <c r="D8" s="56">
        <f t="shared" si="0"/>
        <v>380</v>
      </c>
      <c r="E8" s="55">
        <v>2751.6365714285712</v>
      </c>
      <c r="F8" s="55">
        <v>3241.2989999999995</v>
      </c>
      <c r="G8" s="55">
        <v>1434.9911428571429</v>
      </c>
      <c r="H8" s="82"/>
      <c r="I8" s="10">
        <f>H$7*((0.3*E8/E$21)+(0.35*F8/F$21)+(0.35*G8/G$21))</f>
        <v>249.00074270287467</v>
      </c>
      <c r="J8" s="55">
        <v>0</v>
      </c>
      <c r="K8" s="55">
        <v>0</v>
      </c>
      <c r="L8" s="55">
        <v>0</v>
      </c>
      <c r="M8" s="82"/>
      <c r="N8" s="10">
        <f>M$7*((0.3*J8/J$21)+(0.35*K8/K$21)+(0.35*L8/L$21))</f>
        <v>0</v>
      </c>
      <c r="O8" s="55">
        <v>26.620999999999999</v>
      </c>
      <c r="P8" s="55">
        <v>16.879000000000001</v>
      </c>
      <c r="Q8" s="85"/>
      <c r="R8" s="10">
        <f>Q$7*((0.45*O8/O$21)+(0.55*P8/P$21))</f>
        <v>25.080468550822381</v>
      </c>
      <c r="S8" s="55">
        <v>205.03299999999999</v>
      </c>
      <c r="T8" s="55">
        <v>243.01900000000001</v>
      </c>
      <c r="U8" s="55">
        <v>63.863999999999997</v>
      </c>
      <c r="V8" s="82"/>
      <c r="W8" s="10">
        <f>V$7*((0.3*S8/S$21)+(0.35*T8/T$21)+(0.35*U8/U$21))</f>
        <v>211.36698181180063</v>
      </c>
      <c r="X8" s="82"/>
      <c r="Y8" s="44">
        <v>0.8</v>
      </c>
      <c r="Z8" s="44">
        <v>2.0653559662650001E-4</v>
      </c>
      <c r="AA8" s="49">
        <f t="shared" si="1"/>
        <v>1.6522847730120001E-4</v>
      </c>
      <c r="AB8" s="11">
        <f>I8+N8+R8+W8</f>
        <v>485.44819306549766</v>
      </c>
      <c r="AC8" s="12">
        <f>(AB8/B8)*(B$21/AB$21)*Y8</f>
        <v>0.65984804616985882</v>
      </c>
      <c r="AD8" s="36">
        <f t="shared" si="3"/>
        <v>380</v>
      </c>
      <c r="AE8" s="51">
        <v>6754</v>
      </c>
      <c r="AF8" s="60">
        <v>4044.67</v>
      </c>
      <c r="AG8" s="61">
        <v>5</v>
      </c>
      <c r="AH8" s="61">
        <v>746.7</v>
      </c>
      <c r="AI8" s="61">
        <v>201</v>
      </c>
      <c r="AJ8" s="13">
        <f t="shared" ref="AJ8:AJ20" si="11">IF(AD8=0, ,AE8/AD8)</f>
        <v>17.773684210526316</v>
      </c>
      <c r="AK8" s="13">
        <f t="shared" si="4"/>
        <v>10.643868421052632</v>
      </c>
      <c r="AL8" s="13">
        <f t="shared" ref="AL8:AL20" si="12">IF(AD8=0, ,AG8/AD8)</f>
        <v>1.3157894736842105E-2</v>
      </c>
      <c r="AM8" s="13">
        <f t="shared" si="5"/>
        <v>1.9650000000000001</v>
      </c>
      <c r="AN8" s="13">
        <f t="shared" si="6"/>
        <v>0.52894736842105261</v>
      </c>
      <c r="AO8" s="14">
        <f t="shared" ref="AO8:AR8" si="13">AJ8/AJ$21*AE$4</f>
        <v>0.4098242856805237</v>
      </c>
      <c r="AP8" s="14">
        <f t="shared" si="13"/>
        <v>0.3053894382429066</v>
      </c>
      <c r="AQ8" s="53">
        <f t="shared" ref="AQ8:AQ20" si="14">IF(AL8=0,0,AL8/AL$21*AG$4)</f>
        <v>1.0116407282399185E-4</v>
      </c>
      <c r="AR8" s="14">
        <f t="shared" si="13"/>
        <v>3.4000000000000002E-2</v>
      </c>
      <c r="AS8" s="14">
        <f t="shared" ref="AS8:AS20" si="15">IF(AN8=0,0,AN8/AN$21*AI$4)</f>
        <v>7.9841989589359464E-4</v>
      </c>
      <c r="AT8" s="15">
        <f t="shared" ref="AT8:AT20" si="16">IF(AD8=0,0,AO8+AP8+AQ8+AR8+AS8)</f>
        <v>0.75011330789214792</v>
      </c>
      <c r="AU8" s="16">
        <f t="shared" si="7"/>
        <v>0.87966449765310983</v>
      </c>
      <c r="AV8" s="17">
        <f t="shared" si="8"/>
        <v>250.74225754454636</v>
      </c>
      <c r="AW8" s="17">
        <f t="shared" si="9"/>
        <v>285.04305699901619</v>
      </c>
      <c r="AX8" s="87"/>
      <c r="AY8" s="10">
        <f t="shared" ref="AY8:AY20" si="17">IF((X$7/B$21)*(AX$3-AU8)*AT8*B8&lt;0,0,(X$7/B$21)*(AX$3-AU8)*AT8*B8)</f>
        <v>8420.7042029598633</v>
      </c>
      <c r="AZ8" s="11">
        <f t="shared" ref="AZ8:AZ20" si="18">ROUNDUP(IF((X$7/B$21*(AX$7-AU8)*AT8*B8)&lt;0,0,(X$7/B$21*(AX$7-AU8)*AT8*B8)),1)</f>
        <v>8420.7000000000007</v>
      </c>
      <c r="BA8" s="47">
        <f t="shared" si="10"/>
        <v>7057.5</v>
      </c>
      <c r="BB8" s="46">
        <v>6786.2</v>
      </c>
      <c r="BC8" s="25">
        <v>271.3</v>
      </c>
      <c r="BD8" s="76">
        <v>104</v>
      </c>
      <c r="BE8" s="76">
        <f t="shared" ref="BE8:BE20" si="19">AZ8+BD8</f>
        <v>8524.7000000000007</v>
      </c>
      <c r="BF8" s="77">
        <f t="shared" ref="BF8:BF20" si="20">AZ8+BD8</f>
        <v>8524.7000000000007</v>
      </c>
      <c r="BG8" s="67">
        <v>6908.2</v>
      </c>
      <c r="BI8" s="70">
        <v>9833.5499999999993</v>
      </c>
      <c r="BJ8" s="43" t="s">
        <v>54</v>
      </c>
      <c r="BK8" s="2">
        <v>8524.7000000000007</v>
      </c>
      <c r="BL8" s="2">
        <v>8524.7000000000007</v>
      </c>
    </row>
    <row r="9" spans="1:64" ht="35.1" customHeight="1" x14ac:dyDescent="0.3">
      <c r="A9" s="75" t="s">
        <v>55</v>
      </c>
      <c r="B9" s="56">
        <v>908</v>
      </c>
      <c r="C9" s="36"/>
      <c r="D9" s="56">
        <f t="shared" si="0"/>
        <v>908</v>
      </c>
      <c r="E9" s="55">
        <v>5555.2252857142857</v>
      </c>
      <c r="F9" s="55">
        <v>6415.8962857142851</v>
      </c>
      <c r="G9" s="55">
        <v>3233.6331428571425</v>
      </c>
      <c r="H9" s="82"/>
      <c r="I9" s="10">
        <f t="shared" ref="I9:I20" si="21">H$7*((0.3*E9/E$21)+(0.35*F9/F$21)+(0.35*G9/G$21))</f>
        <v>518.78284402265842</v>
      </c>
      <c r="J9" s="55">
        <v>7.8179999999999996</v>
      </c>
      <c r="K9" s="55">
        <v>14.88</v>
      </c>
      <c r="L9" s="55">
        <v>12.06</v>
      </c>
      <c r="M9" s="82"/>
      <c r="N9" s="10">
        <f t="shared" ref="N9:N20" si="22">M$7*((0.3*J9/J$21)+(0.35*K9/K$21)+(0.35*L9/L$21))</f>
        <v>7.3483143876627777</v>
      </c>
      <c r="O9" s="55">
        <v>97.414000000000001</v>
      </c>
      <c r="P9" s="55">
        <v>54.360999999999997</v>
      </c>
      <c r="Q9" s="85"/>
      <c r="R9" s="10">
        <f t="shared" ref="R9:R20" si="23">Q$7*((0.45*O9/O$21)+(0.55*P9/P$21))</f>
        <v>86.090032123051969</v>
      </c>
      <c r="S9" s="55">
        <v>358.71</v>
      </c>
      <c r="T9" s="55">
        <v>1607.6210000000001</v>
      </c>
      <c r="U9" s="55">
        <v>-933.41499999999996</v>
      </c>
      <c r="V9" s="82"/>
      <c r="W9" s="10">
        <f t="shared" ref="W9:W20" si="24">V$7*((0.3*S9/S$21)+(0.35*T9/T$21)+(0.35*U9/U$21))</f>
        <v>-98.523804654043801</v>
      </c>
      <c r="X9" s="82"/>
      <c r="Y9" s="44">
        <v>0.8</v>
      </c>
      <c r="Z9" s="44">
        <v>9.5765709954999997E-4</v>
      </c>
      <c r="AA9" s="49">
        <f t="shared" si="1"/>
        <v>7.6612567963999997E-4</v>
      </c>
      <c r="AB9" s="11">
        <f t="shared" ref="AB9:AB20" si="25">I9+N9+R9+W9</f>
        <v>513.69738587932932</v>
      </c>
      <c r="AC9" s="12">
        <f t="shared" ref="AC9:AC20" si="26">(AB9/B9)*(B$21/AB$21)*Y9</f>
        <v>0.29221745224416956</v>
      </c>
      <c r="AD9" s="36">
        <f t="shared" si="3"/>
        <v>908</v>
      </c>
      <c r="AE9" s="51">
        <v>7459.2</v>
      </c>
      <c r="AF9" s="60">
        <v>6422.7</v>
      </c>
      <c r="AG9" s="61">
        <v>96</v>
      </c>
      <c r="AH9" s="61">
        <v>61.3</v>
      </c>
      <c r="AI9" s="61">
        <v>251</v>
      </c>
      <c r="AJ9" s="13">
        <f t="shared" si="11"/>
        <v>8.2149779735682813</v>
      </c>
      <c r="AK9" s="13">
        <f t="shared" si="4"/>
        <v>7.0734581497797357</v>
      </c>
      <c r="AL9" s="13">
        <f t="shared" si="12"/>
        <v>0.10572687224669604</v>
      </c>
      <c r="AM9" s="13">
        <f t="shared" si="5"/>
        <v>6.7511013215859034E-2</v>
      </c>
      <c r="AN9" s="13">
        <f t="shared" si="6"/>
        <v>0.27643171806167399</v>
      </c>
      <c r="AO9" s="14">
        <f t="shared" ref="AO9:AO20" si="27">AJ9/AJ$21*AE$4</f>
        <v>0.18942034977221878</v>
      </c>
      <c r="AP9" s="14">
        <f t="shared" ref="AP9:AP20" si="28">AK9/AK$21*AF$4</f>
        <v>0.20294871425912578</v>
      </c>
      <c r="AQ9" s="53">
        <f t="shared" si="14"/>
        <v>8.1287783625974075E-4</v>
      </c>
      <c r="AR9" s="14">
        <f t="shared" ref="AR9:AR20" si="29">AM9/AM$21*AH$4</f>
        <v>1.1681294907578664E-3</v>
      </c>
      <c r="AS9" s="14">
        <f t="shared" si="15"/>
        <v>4.1726000871376081E-4</v>
      </c>
      <c r="AT9" s="15">
        <f t="shared" si="16"/>
        <v>0.39476733136707587</v>
      </c>
      <c r="AU9" s="16">
        <f t="shared" si="7"/>
        <v>0.74022703761282127</v>
      </c>
      <c r="AV9" s="17">
        <f t="shared" si="8"/>
        <v>265.33344663770595</v>
      </c>
      <c r="AW9" s="17">
        <f t="shared" si="9"/>
        <v>358.44873688130491</v>
      </c>
      <c r="AX9" s="87"/>
      <c r="AY9" s="10">
        <f t="shared" si="17"/>
        <v>10666.657703991385</v>
      </c>
      <c r="AZ9" s="11">
        <f t="shared" si="18"/>
        <v>10666.7</v>
      </c>
      <c r="BA9" s="47">
        <f t="shared" si="10"/>
        <v>9867.9000000000015</v>
      </c>
      <c r="BB9" s="46">
        <v>8982.2000000000007</v>
      </c>
      <c r="BC9" s="25">
        <v>885.7</v>
      </c>
      <c r="BD9" s="76">
        <v>248.5</v>
      </c>
      <c r="BE9" s="76">
        <f t="shared" si="19"/>
        <v>10915.2</v>
      </c>
      <c r="BF9" s="77">
        <f t="shared" si="20"/>
        <v>10915.2</v>
      </c>
      <c r="BG9" s="67">
        <v>10746.9</v>
      </c>
      <c r="BI9" s="70">
        <v>9727.57</v>
      </c>
      <c r="BJ9" s="43" t="s">
        <v>55</v>
      </c>
      <c r="BK9" s="2">
        <v>10915.2</v>
      </c>
      <c r="BL9" s="2">
        <v>10915.2</v>
      </c>
    </row>
    <row r="10" spans="1:64" ht="35.1" customHeight="1" x14ac:dyDescent="0.3">
      <c r="A10" s="75" t="s">
        <v>56</v>
      </c>
      <c r="B10" s="56">
        <v>195</v>
      </c>
      <c r="C10" s="36"/>
      <c r="D10" s="56">
        <f t="shared" si="0"/>
        <v>195</v>
      </c>
      <c r="E10" s="55">
        <v>1665.1082857142858</v>
      </c>
      <c r="F10" s="55">
        <v>2273.1885714285718</v>
      </c>
      <c r="G10" s="55">
        <v>1178.7771428571425</v>
      </c>
      <c r="H10" s="82"/>
      <c r="I10" s="10">
        <f t="shared" si="21"/>
        <v>177.5619270203419</v>
      </c>
      <c r="J10" s="55">
        <v>2.46</v>
      </c>
      <c r="K10" s="55">
        <v>1.8</v>
      </c>
      <c r="L10" s="55">
        <v>13.08</v>
      </c>
      <c r="M10" s="82"/>
      <c r="N10" s="10">
        <f t="shared" si="22"/>
        <v>4.9826820289192968</v>
      </c>
      <c r="O10" s="55">
        <v>4.0830000000000002</v>
      </c>
      <c r="P10" s="55">
        <v>0.73499999999999999</v>
      </c>
      <c r="Q10" s="85"/>
      <c r="R10" s="10">
        <f t="shared" si="23"/>
        <v>2.4229118295512162</v>
      </c>
      <c r="S10" s="55">
        <v>91.078999999999994</v>
      </c>
      <c r="T10" s="55">
        <v>77.739999999999995</v>
      </c>
      <c r="U10" s="55">
        <v>24.411999999999999</v>
      </c>
      <c r="V10" s="82"/>
      <c r="W10" s="10">
        <f t="shared" si="24"/>
        <v>80.902501452345348</v>
      </c>
      <c r="X10" s="82"/>
      <c r="Y10" s="44">
        <v>0.8</v>
      </c>
      <c r="Z10" s="44">
        <v>5.2768985484399997E-5</v>
      </c>
      <c r="AA10" s="49">
        <f t="shared" si="1"/>
        <v>4.2215188387520002E-5</v>
      </c>
      <c r="AB10" s="11">
        <f t="shared" si="25"/>
        <v>265.87002233115777</v>
      </c>
      <c r="AC10" s="12">
        <f t="shared" si="26"/>
        <v>0.70423791567994865</v>
      </c>
      <c r="AD10" s="36">
        <f t="shared" si="3"/>
        <v>195</v>
      </c>
      <c r="AE10" s="51">
        <v>4008.6</v>
      </c>
      <c r="AF10" s="60">
        <v>3282.67</v>
      </c>
      <c r="AG10" s="61">
        <v>3</v>
      </c>
      <c r="AH10" s="61">
        <v>1.3</v>
      </c>
      <c r="AI10" s="61">
        <v>1</v>
      </c>
      <c r="AJ10" s="13">
        <f t="shared" si="11"/>
        <v>20.556923076923077</v>
      </c>
      <c r="AK10" s="13">
        <f t="shared" si="4"/>
        <v>16.834205128205127</v>
      </c>
      <c r="AL10" s="13">
        <f t="shared" si="12"/>
        <v>1.5384615384615385E-2</v>
      </c>
      <c r="AM10" s="13">
        <f t="shared" si="5"/>
        <v>6.6666666666666671E-3</v>
      </c>
      <c r="AN10" s="13">
        <f t="shared" si="6"/>
        <v>5.1282051282051282E-3</v>
      </c>
      <c r="AO10" s="14">
        <f t="shared" si="27"/>
        <v>0.47399999999999998</v>
      </c>
      <c r="AP10" s="14">
        <f t="shared" si="28"/>
        <v>0.48299999999999998</v>
      </c>
      <c r="AQ10" s="53">
        <f t="shared" si="14"/>
        <v>1.1828414668651356E-4</v>
      </c>
      <c r="AR10" s="14">
        <f t="shared" si="29"/>
        <v>1.1535199321458865E-4</v>
      </c>
      <c r="AS10" s="14">
        <f t="shared" si="15"/>
        <v>7.7407720484644984E-6</v>
      </c>
      <c r="AT10" s="15">
        <f t="shared" si="16"/>
        <v>0.95724137691194944</v>
      </c>
      <c r="AU10" s="16">
        <f t="shared" si="7"/>
        <v>0.73569523075967813</v>
      </c>
      <c r="AV10" s="17">
        <f t="shared" si="8"/>
        <v>137.32639355758999</v>
      </c>
      <c r="AW10" s="17">
        <f t="shared" si="9"/>
        <v>186.66206849783015</v>
      </c>
      <c r="AX10" s="87"/>
      <c r="AY10" s="10">
        <f t="shared" si="17"/>
        <v>5555.9688748619546</v>
      </c>
      <c r="AZ10" s="11">
        <f t="shared" si="18"/>
        <v>5556</v>
      </c>
      <c r="BA10" s="47">
        <f t="shared" si="10"/>
        <v>5732.2999999999993</v>
      </c>
      <c r="BB10" s="46">
        <v>5561.4</v>
      </c>
      <c r="BC10" s="25">
        <v>170.9</v>
      </c>
      <c r="BD10" s="76">
        <v>53.4</v>
      </c>
      <c r="BE10" s="76">
        <f t="shared" si="19"/>
        <v>5609.4</v>
      </c>
      <c r="BF10" s="77">
        <f t="shared" si="20"/>
        <v>5609.4</v>
      </c>
      <c r="BG10" s="67">
        <v>5585</v>
      </c>
      <c r="BI10" s="70">
        <v>5511.53</v>
      </c>
      <c r="BJ10" s="43" t="s">
        <v>56</v>
      </c>
      <c r="BK10" s="2">
        <v>5609.4</v>
      </c>
      <c r="BL10" s="2">
        <v>5609.4</v>
      </c>
    </row>
    <row r="11" spans="1:64" ht="35.1" customHeight="1" x14ac:dyDescent="0.3">
      <c r="A11" s="75" t="s">
        <v>57</v>
      </c>
      <c r="B11" s="56">
        <v>947</v>
      </c>
      <c r="C11" s="36"/>
      <c r="D11" s="56">
        <f t="shared" si="0"/>
        <v>947</v>
      </c>
      <c r="E11" s="55">
        <v>4082.1662857142846</v>
      </c>
      <c r="F11" s="55">
        <v>5838.5154285714279</v>
      </c>
      <c r="G11" s="55">
        <v>2787.8889999999992</v>
      </c>
      <c r="H11" s="82"/>
      <c r="I11" s="10">
        <f t="shared" si="21"/>
        <v>436.79785658767264</v>
      </c>
      <c r="J11" s="55">
        <v>10.429</v>
      </c>
      <c r="K11" s="55">
        <v>21.722999999999999</v>
      </c>
      <c r="L11" s="55">
        <v>42.790999999999997</v>
      </c>
      <c r="M11" s="82"/>
      <c r="N11" s="10">
        <f t="shared" si="22"/>
        <v>18.972266044938689</v>
      </c>
      <c r="O11" s="55">
        <v>102.833</v>
      </c>
      <c r="P11" s="55">
        <v>24.106999999999999</v>
      </c>
      <c r="Q11" s="85"/>
      <c r="R11" s="10">
        <f t="shared" si="23"/>
        <v>65.320214159302864</v>
      </c>
      <c r="S11" s="55">
        <v>508.33699999999999</v>
      </c>
      <c r="T11" s="55">
        <v>541.625</v>
      </c>
      <c r="U11" s="55">
        <v>62.587000000000003</v>
      </c>
      <c r="V11" s="82"/>
      <c r="W11" s="10">
        <f t="shared" si="24"/>
        <v>426.42004974222095</v>
      </c>
      <c r="X11" s="82"/>
      <c r="Y11" s="44">
        <v>0.8</v>
      </c>
      <c r="Z11" s="44">
        <v>5.2351280044630002E-4</v>
      </c>
      <c r="AA11" s="49">
        <f t="shared" si="1"/>
        <v>4.1881024035704003E-4</v>
      </c>
      <c r="AB11" s="11">
        <f t="shared" si="25"/>
        <v>947.51038653413514</v>
      </c>
      <c r="AC11" s="12">
        <f t="shared" si="26"/>
        <v>0.51679540453969375</v>
      </c>
      <c r="AD11" s="36">
        <f t="shared" si="3"/>
        <v>947</v>
      </c>
      <c r="AE11" s="51">
        <v>6432.1</v>
      </c>
      <c r="AF11" s="60">
        <v>8303</v>
      </c>
      <c r="AG11" s="61">
        <v>54</v>
      </c>
      <c r="AH11" s="61">
        <v>253.3</v>
      </c>
      <c r="AI11" s="61">
        <v>198</v>
      </c>
      <c r="AJ11" s="13">
        <f t="shared" si="11"/>
        <v>6.7920802534318909</v>
      </c>
      <c r="AK11" s="13">
        <f t="shared" si="4"/>
        <v>8.7676874340021111</v>
      </c>
      <c r="AL11" s="13">
        <f t="shared" si="12"/>
        <v>5.7022175290390706E-2</v>
      </c>
      <c r="AM11" s="13">
        <f t="shared" si="5"/>
        <v>0.26747624076029569</v>
      </c>
      <c r="AN11" s="13">
        <f t="shared" si="6"/>
        <v>0.20908130939809927</v>
      </c>
      <c r="AO11" s="14">
        <f t="shared" si="27"/>
        <v>0.15661128020373938</v>
      </c>
      <c r="AP11" s="14">
        <f t="shared" si="28"/>
        <v>0.25155883502499149</v>
      </c>
      <c r="AQ11" s="53">
        <f t="shared" si="14"/>
        <v>4.3841325751812306E-4</v>
      </c>
      <c r="AR11" s="14">
        <f t="shared" si="29"/>
        <v>4.6280876263867952E-3</v>
      </c>
      <c r="AS11" s="14">
        <f t="shared" si="15"/>
        <v>3.1559789735080703E-4</v>
      </c>
      <c r="AT11" s="15">
        <f t="shared" si="16"/>
        <v>0.4135522140099866</v>
      </c>
      <c r="AU11" s="16">
        <f t="shared" si="7"/>
        <v>1.2496497105616124</v>
      </c>
      <c r="AV11" s="17">
        <f t="shared" si="8"/>
        <v>489.40524809908999</v>
      </c>
      <c r="AW11" s="17">
        <f t="shared" si="9"/>
        <v>391.63394666745728</v>
      </c>
      <c r="AX11" s="87"/>
      <c r="AY11" s="10">
        <f t="shared" si="17"/>
        <v>11345.173751925597</v>
      </c>
      <c r="AZ11" s="11">
        <f t="shared" si="18"/>
        <v>11345.2</v>
      </c>
      <c r="BA11" s="47">
        <f t="shared" si="10"/>
        <v>9342.1999999999989</v>
      </c>
      <c r="BB11" s="46">
        <v>8916.2999999999993</v>
      </c>
      <c r="BC11" s="25">
        <v>425.9</v>
      </c>
      <c r="BD11" s="76">
        <v>259.2</v>
      </c>
      <c r="BE11" s="76">
        <f t="shared" si="19"/>
        <v>11604.400000000001</v>
      </c>
      <c r="BF11" s="77">
        <f t="shared" si="20"/>
        <v>11604.400000000001</v>
      </c>
      <c r="BG11" s="67">
        <v>10930.5</v>
      </c>
      <c r="BI11" s="70">
        <v>10972.87</v>
      </c>
      <c r="BJ11" s="43" t="s">
        <v>57</v>
      </c>
      <c r="BK11" s="2">
        <v>11604.4</v>
      </c>
      <c r="BL11" s="2">
        <v>11604.4</v>
      </c>
    </row>
    <row r="12" spans="1:64" ht="35.1" customHeight="1" x14ac:dyDescent="0.3">
      <c r="A12" s="75" t="s">
        <v>58</v>
      </c>
      <c r="B12" s="56">
        <v>841</v>
      </c>
      <c r="C12" s="36"/>
      <c r="D12" s="56">
        <f t="shared" si="0"/>
        <v>841</v>
      </c>
      <c r="E12" s="55">
        <v>5668.1701428571423</v>
      </c>
      <c r="F12" s="55">
        <v>6607.8107142857134</v>
      </c>
      <c r="G12" s="55">
        <v>3233.6981428571426</v>
      </c>
      <c r="H12" s="82"/>
      <c r="I12" s="10">
        <f t="shared" si="21"/>
        <v>527.21633193609694</v>
      </c>
      <c r="J12" s="55">
        <v>14.94</v>
      </c>
      <c r="K12" s="55">
        <v>6.12</v>
      </c>
      <c r="L12" s="55">
        <v>6.54</v>
      </c>
      <c r="M12" s="82"/>
      <c r="N12" s="10">
        <f t="shared" si="22"/>
        <v>5.2724599292688978</v>
      </c>
      <c r="O12" s="55">
        <v>57.19</v>
      </c>
      <c r="P12" s="55">
        <v>63.164999999999999</v>
      </c>
      <c r="Q12" s="85"/>
      <c r="R12" s="10">
        <f t="shared" si="23"/>
        <v>74.543670367689316</v>
      </c>
      <c r="S12" s="55">
        <v>307.38799999999998</v>
      </c>
      <c r="T12" s="55">
        <v>366.20299999999997</v>
      </c>
      <c r="U12" s="55">
        <v>153.71199999999999</v>
      </c>
      <c r="V12" s="82"/>
      <c r="W12" s="10">
        <f t="shared" si="24"/>
        <v>364.66658578904156</v>
      </c>
      <c r="X12" s="82"/>
      <c r="Y12" s="44">
        <v>0.8</v>
      </c>
      <c r="Z12" s="44">
        <v>7.7090597244540004E-4</v>
      </c>
      <c r="AA12" s="49">
        <f t="shared" si="1"/>
        <v>6.1672477795632005E-4</v>
      </c>
      <c r="AB12" s="11">
        <f t="shared" si="25"/>
        <v>971.69904802209658</v>
      </c>
      <c r="AC12" s="12">
        <f t="shared" si="26"/>
        <v>0.59678847041966188</v>
      </c>
      <c r="AD12" s="36">
        <f t="shared" si="3"/>
        <v>841</v>
      </c>
      <c r="AE12" s="51">
        <v>8023.3</v>
      </c>
      <c r="AF12" s="60">
        <v>4892.34</v>
      </c>
      <c r="AG12" s="61">
        <v>486</v>
      </c>
      <c r="AH12" s="61">
        <v>234.7</v>
      </c>
      <c r="AI12" s="61">
        <v>166</v>
      </c>
      <c r="AJ12" s="13">
        <f t="shared" si="11"/>
        <v>9.5401902497027358</v>
      </c>
      <c r="AK12" s="13">
        <f t="shared" si="4"/>
        <v>5.8172889417360283</v>
      </c>
      <c r="AL12" s="13">
        <f t="shared" si="12"/>
        <v>0.57788347205707491</v>
      </c>
      <c r="AM12" s="13">
        <f t="shared" si="5"/>
        <v>0.27907253269916765</v>
      </c>
      <c r="AN12" s="13">
        <f t="shared" si="6"/>
        <v>0.19738406658739596</v>
      </c>
      <c r="AO12" s="14">
        <f t="shared" si="27"/>
        <v>0.21997699565434908</v>
      </c>
      <c r="AP12" s="14">
        <f t="shared" si="28"/>
        <v>0.16690723069251795</v>
      </c>
      <c r="AQ12" s="53">
        <f t="shared" si="14"/>
        <v>4.4430394694732027E-3</v>
      </c>
      <c r="AR12" s="14">
        <f t="shared" si="29"/>
        <v>4.8287359347438672E-3</v>
      </c>
      <c r="AS12" s="14">
        <f t="shared" si="15"/>
        <v>2.9794148776313411E-4</v>
      </c>
      <c r="AT12" s="15">
        <f t="shared" si="16"/>
        <v>0.39645394323884725</v>
      </c>
      <c r="AU12" s="16">
        <f t="shared" si="7"/>
        <v>1.5053160161409249</v>
      </c>
      <c r="AV12" s="17">
        <f t="shared" si="8"/>
        <v>501.89910362293563</v>
      </c>
      <c r="AW12" s="17">
        <f t="shared" si="9"/>
        <v>333.41776626387053</v>
      </c>
      <c r="AX12" s="87"/>
      <c r="AY12" s="10">
        <f t="shared" si="17"/>
        <v>9526.6911684820261</v>
      </c>
      <c r="AZ12" s="11">
        <f t="shared" si="18"/>
        <v>9526.7000000000007</v>
      </c>
      <c r="BA12" s="47">
        <f t="shared" si="10"/>
        <v>8704.7000000000007</v>
      </c>
      <c r="BB12" s="46">
        <v>8361.1</v>
      </c>
      <c r="BC12" s="25">
        <v>343.6</v>
      </c>
      <c r="BD12" s="76">
        <v>230.2</v>
      </c>
      <c r="BE12" s="76">
        <f t="shared" si="19"/>
        <v>9756.9000000000015</v>
      </c>
      <c r="BF12" s="77">
        <f t="shared" si="20"/>
        <v>9756.9000000000015</v>
      </c>
      <c r="BG12" s="67">
        <v>8700</v>
      </c>
      <c r="BI12" s="70">
        <v>10436.99</v>
      </c>
      <c r="BJ12" s="43" t="s">
        <v>58</v>
      </c>
      <c r="BK12" s="2">
        <v>9756.9</v>
      </c>
      <c r="BL12" s="2">
        <v>9756.9</v>
      </c>
    </row>
    <row r="13" spans="1:64" ht="35.1" customHeight="1" x14ac:dyDescent="0.3">
      <c r="A13" s="75" t="s">
        <v>59</v>
      </c>
      <c r="B13" s="56">
        <v>224</v>
      </c>
      <c r="C13" s="36"/>
      <c r="D13" s="56">
        <f t="shared" si="0"/>
        <v>224</v>
      </c>
      <c r="E13" s="55">
        <v>1553.8171428571427</v>
      </c>
      <c r="F13" s="55">
        <v>2248.6064285714288</v>
      </c>
      <c r="G13" s="55">
        <v>2153.4549999999999</v>
      </c>
      <c r="H13" s="82"/>
      <c r="I13" s="10">
        <f t="shared" si="21"/>
        <v>230.82609323787312</v>
      </c>
      <c r="J13" s="55">
        <v>3.9079999999999999</v>
      </c>
      <c r="K13" s="55">
        <v>2.8809999999999998</v>
      </c>
      <c r="L13" s="55">
        <v>0</v>
      </c>
      <c r="M13" s="82"/>
      <c r="N13" s="10">
        <f t="shared" si="22"/>
        <v>0.99697945035849156</v>
      </c>
      <c r="O13" s="55">
        <v>3.2410000000000001</v>
      </c>
      <c r="P13" s="55">
        <v>8.4000000000000005E-2</v>
      </c>
      <c r="Q13" s="85"/>
      <c r="R13" s="10">
        <f t="shared" si="23"/>
        <v>1.539675909545142</v>
      </c>
      <c r="S13" s="55">
        <v>29.95</v>
      </c>
      <c r="T13" s="55">
        <v>32.515000000000001</v>
      </c>
      <c r="U13" s="55">
        <v>19.870999999999999</v>
      </c>
      <c r="V13" s="82"/>
      <c r="W13" s="10">
        <f t="shared" si="24"/>
        <v>38.49077588148733</v>
      </c>
      <c r="X13" s="82"/>
      <c r="Y13" s="44">
        <v>0.8</v>
      </c>
      <c r="Z13" s="44">
        <v>1.16936267788E-5</v>
      </c>
      <c r="AA13" s="49">
        <f t="shared" si="1"/>
        <v>9.3549014230400009E-6</v>
      </c>
      <c r="AB13" s="11">
        <f t="shared" si="25"/>
        <v>271.85352447926408</v>
      </c>
      <c r="AC13" s="12">
        <f t="shared" si="26"/>
        <v>0.62686149240807354</v>
      </c>
      <c r="AD13" s="36">
        <f t="shared" si="3"/>
        <v>224</v>
      </c>
      <c r="AE13" s="51">
        <v>4143.7</v>
      </c>
      <c r="AF13" s="60">
        <v>2933.33</v>
      </c>
      <c r="AG13" s="61">
        <v>1</v>
      </c>
      <c r="AH13" s="61">
        <v>0</v>
      </c>
      <c r="AI13" s="61">
        <v>101</v>
      </c>
      <c r="AJ13" s="13">
        <f t="shared" si="11"/>
        <v>18.498660714285712</v>
      </c>
      <c r="AK13" s="13">
        <f t="shared" si="4"/>
        <v>13.095223214285713</v>
      </c>
      <c r="AL13" s="13">
        <f t="shared" si="12"/>
        <v>4.464285714285714E-3</v>
      </c>
      <c r="AM13" s="13">
        <f t="shared" si="5"/>
        <v>0</v>
      </c>
      <c r="AN13" s="13">
        <f t="shared" si="6"/>
        <v>0.45089285714285715</v>
      </c>
      <c r="AO13" s="14">
        <f t="shared" si="27"/>
        <v>0.42654073986464808</v>
      </c>
      <c r="AP13" s="14">
        <f t="shared" si="28"/>
        <v>0.37572268867644326</v>
      </c>
      <c r="AQ13" s="53">
        <f t="shared" si="14"/>
        <v>3.4323524708140093E-5</v>
      </c>
      <c r="AR13" s="14">
        <f t="shared" si="29"/>
        <v>0</v>
      </c>
      <c r="AS13" s="14">
        <f t="shared" si="15"/>
        <v>6.8060047095762626E-4</v>
      </c>
      <c r="AT13" s="15">
        <f t="shared" si="16"/>
        <v>0.80297835253675709</v>
      </c>
      <c r="AU13" s="16">
        <f t="shared" si="7"/>
        <v>0.78067047564570347</v>
      </c>
      <c r="AV13" s="17">
        <f t="shared" si="8"/>
        <v>140.41697429940848</v>
      </c>
      <c r="AW13" s="17">
        <f t="shared" si="9"/>
        <v>179.8671509682336</v>
      </c>
      <c r="AX13" s="87"/>
      <c r="AY13" s="10">
        <f t="shared" si="17"/>
        <v>5341.1897457391806</v>
      </c>
      <c r="AZ13" s="11">
        <f t="shared" si="18"/>
        <v>5341.2000000000007</v>
      </c>
      <c r="BA13" s="47">
        <f t="shared" si="10"/>
        <v>4962.2</v>
      </c>
      <c r="BB13" s="46">
        <v>4624.5</v>
      </c>
      <c r="BC13" s="25">
        <v>337.7</v>
      </c>
      <c r="BD13" s="76">
        <v>61.3</v>
      </c>
      <c r="BE13" s="76">
        <f t="shared" si="19"/>
        <v>5402.5000000000009</v>
      </c>
      <c r="BF13" s="77">
        <f t="shared" si="20"/>
        <v>5402.5000000000009</v>
      </c>
      <c r="BG13" s="67">
        <v>5795.7</v>
      </c>
      <c r="BI13" s="70">
        <v>5300.23</v>
      </c>
      <c r="BJ13" s="43" t="s">
        <v>59</v>
      </c>
      <c r="BK13" s="2">
        <v>5402.5</v>
      </c>
      <c r="BL13" s="2">
        <v>5402.5</v>
      </c>
    </row>
    <row r="14" spans="1:64" ht="35.1" customHeight="1" x14ac:dyDescent="0.3">
      <c r="A14" s="75" t="s">
        <v>60</v>
      </c>
      <c r="B14" s="56">
        <v>271</v>
      </c>
      <c r="C14" s="36"/>
      <c r="D14" s="56">
        <f t="shared" si="0"/>
        <v>271</v>
      </c>
      <c r="E14" s="55">
        <v>2094.7779999999998</v>
      </c>
      <c r="F14" s="55">
        <v>2421.6204285714289</v>
      </c>
      <c r="G14" s="55">
        <v>1375.6561428571426</v>
      </c>
      <c r="H14" s="82"/>
      <c r="I14" s="10">
        <f t="shared" si="21"/>
        <v>204.82250006388077</v>
      </c>
      <c r="J14" s="55">
        <v>0</v>
      </c>
      <c r="K14" s="55">
        <v>0</v>
      </c>
      <c r="L14" s="55">
        <v>0</v>
      </c>
      <c r="M14" s="82"/>
      <c r="N14" s="10">
        <f t="shared" si="22"/>
        <v>0</v>
      </c>
      <c r="O14" s="55">
        <v>17.920000000000002</v>
      </c>
      <c r="P14" s="55">
        <v>5.0170000000000003</v>
      </c>
      <c r="Q14" s="85"/>
      <c r="R14" s="10">
        <f t="shared" si="23"/>
        <v>12.009655850975548</v>
      </c>
      <c r="S14" s="55">
        <v>196.285</v>
      </c>
      <c r="T14" s="55">
        <v>205.572</v>
      </c>
      <c r="U14" s="55">
        <v>141.376</v>
      </c>
      <c r="V14" s="82"/>
      <c r="W14" s="10">
        <f t="shared" si="24"/>
        <v>258.89860364063759</v>
      </c>
      <c r="X14" s="82"/>
      <c r="Y14" s="44">
        <v>0.8</v>
      </c>
      <c r="Z14" s="44">
        <v>1.0588748283100001E-4</v>
      </c>
      <c r="AA14" s="49">
        <f t="shared" si="1"/>
        <v>8.4709986264800005E-5</v>
      </c>
      <c r="AB14" s="11">
        <f t="shared" si="25"/>
        <v>475.73075955549393</v>
      </c>
      <c r="AC14" s="12">
        <f t="shared" si="26"/>
        <v>0.90672707629479954</v>
      </c>
      <c r="AD14" s="36">
        <f t="shared" si="3"/>
        <v>271</v>
      </c>
      <c r="AE14" s="51">
        <v>4290.3999999999996</v>
      </c>
      <c r="AF14" s="60">
        <v>3846</v>
      </c>
      <c r="AG14" s="61">
        <v>60</v>
      </c>
      <c r="AH14" s="61">
        <v>244</v>
      </c>
      <c r="AI14" s="61">
        <v>174</v>
      </c>
      <c r="AJ14" s="13">
        <f t="shared" si="11"/>
        <v>15.831734317343171</v>
      </c>
      <c r="AK14" s="13">
        <f t="shared" si="4"/>
        <v>14.191881918819188</v>
      </c>
      <c r="AL14" s="13">
        <f t="shared" si="12"/>
        <v>0.22140221402214022</v>
      </c>
      <c r="AM14" s="13">
        <f t="shared" si="5"/>
        <v>0.90036900369003692</v>
      </c>
      <c r="AN14" s="13">
        <f t="shared" si="6"/>
        <v>0.64206642066420661</v>
      </c>
      <c r="AO14" s="14">
        <f t="shared" si="27"/>
        <v>0.36504694979594599</v>
      </c>
      <c r="AP14" s="14">
        <f t="shared" si="28"/>
        <v>0.40718756333228295</v>
      </c>
      <c r="AQ14" s="53">
        <f t="shared" si="14"/>
        <v>1.7022441774073908E-3</v>
      </c>
      <c r="AR14" s="14">
        <f t="shared" si="29"/>
        <v>1.5578903880641861E-2</v>
      </c>
      <c r="AS14" s="14">
        <f t="shared" si="15"/>
        <v>9.6916751145535197E-4</v>
      </c>
      <c r="AT14" s="15">
        <f t="shared" si="16"/>
        <v>0.79048482869773351</v>
      </c>
      <c r="AU14" s="16">
        <f t="shared" si="7"/>
        <v>1.1470518387918547</v>
      </c>
      <c r="AV14" s="17">
        <f t="shared" si="8"/>
        <v>245.72303767589065</v>
      </c>
      <c r="AW14" s="17">
        <f t="shared" si="9"/>
        <v>214.22138857708578</v>
      </c>
      <c r="AX14" s="87"/>
      <c r="AY14" s="10">
        <f t="shared" si="17"/>
        <v>6239.7824197905511</v>
      </c>
      <c r="AZ14" s="11">
        <f t="shared" si="18"/>
        <v>6239.8</v>
      </c>
      <c r="BA14" s="47">
        <f t="shared" si="10"/>
        <v>6067.7</v>
      </c>
      <c r="BB14" s="46">
        <v>5946.7</v>
      </c>
      <c r="BC14" s="25">
        <v>121</v>
      </c>
      <c r="BD14" s="76">
        <v>74.2</v>
      </c>
      <c r="BE14" s="76">
        <f t="shared" si="19"/>
        <v>6314</v>
      </c>
      <c r="BF14" s="77">
        <f t="shared" si="20"/>
        <v>6314</v>
      </c>
      <c r="BG14" s="67">
        <v>6416.3</v>
      </c>
      <c r="BI14" s="70">
        <v>6491.61</v>
      </c>
      <c r="BJ14" s="43" t="s">
        <v>60</v>
      </c>
      <c r="BK14" s="2">
        <v>6314</v>
      </c>
      <c r="BL14" s="2">
        <v>6314</v>
      </c>
    </row>
    <row r="15" spans="1:64" ht="35.1" customHeight="1" x14ac:dyDescent="0.3">
      <c r="A15" s="75" t="s">
        <v>61</v>
      </c>
      <c r="B15" s="56">
        <v>398</v>
      </c>
      <c r="C15" s="36"/>
      <c r="D15" s="56">
        <f t="shared" si="0"/>
        <v>398</v>
      </c>
      <c r="E15" s="55">
        <v>984.65114285714299</v>
      </c>
      <c r="F15" s="55">
        <v>993.11871428571419</v>
      </c>
      <c r="G15" s="55">
        <v>622.9041428571428</v>
      </c>
      <c r="H15" s="82"/>
      <c r="I15" s="10">
        <f t="shared" si="21"/>
        <v>90.819365613267934</v>
      </c>
      <c r="J15" s="55">
        <v>378.02100000000002</v>
      </c>
      <c r="K15" s="55">
        <v>349.08</v>
      </c>
      <c r="L15" s="55">
        <v>365.34</v>
      </c>
      <c r="M15" s="82"/>
      <c r="N15" s="10">
        <f t="shared" si="22"/>
        <v>228.4576530387246</v>
      </c>
      <c r="O15" s="55">
        <v>7.9059999999999997</v>
      </c>
      <c r="P15" s="55">
        <v>10.393000000000001</v>
      </c>
      <c r="Q15" s="85"/>
      <c r="R15" s="10">
        <f t="shared" si="23"/>
        <v>11.580711687964232</v>
      </c>
      <c r="S15" s="55">
        <v>85.968000000000004</v>
      </c>
      <c r="T15" s="55">
        <v>117.774</v>
      </c>
      <c r="U15" s="55">
        <v>-3.5720000000000001</v>
      </c>
      <c r="V15" s="82"/>
      <c r="W15" s="10">
        <f t="shared" si="24"/>
        <v>69.056429206814457</v>
      </c>
      <c r="X15" s="82"/>
      <c r="Y15" s="44">
        <v>0.8</v>
      </c>
      <c r="Z15" s="44">
        <v>3.18689489998E-4</v>
      </c>
      <c r="AA15" s="49">
        <f t="shared" si="1"/>
        <v>2.5495159199840001E-4</v>
      </c>
      <c r="AB15" s="11">
        <f t="shared" si="25"/>
        <v>399.91415954677126</v>
      </c>
      <c r="AC15" s="12">
        <f t="shared" si="26"/>
        <v>0.51900118800639505</v>
      </c>
      <c r="AD15" s="36">
        <f t="shared" si="3"/>
        <v>398</v>
      </c>
      <c r="AE15" s="51">
        <v>4550.8999999999996</v>
      </c>
      <c r="AF15" s="60">
        <v>3735</v>
      </c>
      <c r="AG15" s="61">
        <v>0</v>
      </c>
      <c r="AH15" s="61">
        <v>4</v>
      </c>
      <c r="AI15" s="61">
        <v>4</v>
      </c>
      <c r="AJ15" s="13">
        <f t="shared" si="11"/>
        <v>11.434422110552763</v>
      </c>
      <c r="AK15" s="13">
        <f t="shared" si="4"/>
        <v>9.3844221105527641</v>
      </c>
      <c r="AL15" s="13">
        <f t="shared" si="12"/>
        <v>0</v>
      </c>
      <c r="AM15" s="13">
        <f t="shared" si="5"/>
        <v>1.0050251256281407E-2</v>
      </c>
      <c r="AN15" s="13">
        <f t="shared" si="6"/>
        <v>1.0050251256281407E-2</v>
      </c>
      <c r="AO15" s="14">
        <f t="shared" si="27"/>
        <v>0.26365405270627945</v>
      </c>
      <c r="AP15" s="14">
        <f t="shared" si="28"/>
        <v>0.26925392941794696</v>
      </c>
      <c r="AQ15" s="53">
        <f t="shared" si="14"/>
        <v>0</v>
      </c>
      <c r="AR15" s="14">
        <f t="shared" si="29"/>
        <v>1.7389747720792257E-4</v>
      </c>
      <c r="AS15" s="14">
        <f t="shared" si="15"/>
        <v>1.5170357280910322E-5</v>
      </c>
      <c r="AT15" s="15">
        <f t="shared" si="16"/>
        <v>0.53309704995871532</v>
      </c>
      <c r="AU15" s="16">
        <f t="shared" si="7"/>
        <v>0.9735585444462469</v>
      </c>
      <c r="AV15" s="17">
        <f t="shared" si="8"/>
        <v>206.56247282654522</v>
      </c>
      <c r="AW15" s="17">
        <f t="shared" si="9"/>
        <v>212.17262588356868</v>
      </c>
      <c r="AX15" s="87"/>
      <c r="AY15" s="10">
        <f t="shared" si="17"/>
        <v>6237.1200753713574</v>
      </c>
      <c r="AZ15" s="11">
        <f t="shared" si="18"/>
        <v>6237.1</v>
      </c>
      <c r="BA15" s="47">
        <f t="shared" si="10"/>
        <v>5690.1</v>
      </c>
      <c r="BB15" s="46">
        <v>5349.8</v>
      </c>
      <c r="BC15" s="25">
        <v>340.3</v>
      </c>
      <c r="BD15" s="76">
        <v>108.9</v>
      </c>
      <c r="BE15" s="76">
        <f t="shared" si="19"/>
        <v>6346</v>
      </c>
      <c r="BF15" s="77">
        <f t="shared" si="20"/>
        <v>6346</v>
      </c>
      <c r="BG15" s="67">
        <v>6424.3</v>
      </c>
      <c r="BI15" s="70">
        <v>6202.25</v>
      </c>
      <c r="BJ15" s="43" t="s">
        <v>61</v>
      </c>
      <c r="BK15" s="2">
        <v>6346</v>
      </c>
      <c r="BL15" s="2">
        <v>6346</v>
      </c>
    </row>
    <row r="16" spans="1:64" ht="35.1" customHeight="1" x14ac:dyDescent="0.3">
      <c r="A16" s="75" t="s">
        <v>62</v>
      </c>
      <c r="B16" s="56">
        <v>546</v>
      </c>
      <c r="C16" s="36"/>
      <c r="D16" s="56">
        <f t="shared" si="0"/>
        <v>546</v>
      </c>
      <c r="E16" s="55">
        <v>1167.627857142857</v>
      </c>
      <c r="F16" s="55">
        <v>1311.0729999999999</v>
      </c>
      <c r="G16" s="55">
        <v>640.08628571428574</v>
      </c>
      <c r="H16" s="82"/>
      <c r="I16" s="10">
        <f t="shared" si="21"/>
        <v>105.67748458573242</v>
      </c>
      <c r="J16" s="55">
        <v>2.58</v>
      </c>
      <c r="K16" s="55">
        <v>3.855</v>
      </c>
      <c r="L16" s="55">
        <v>1.98</v>
      </c>
      <c r="M16" s="82"/>
      <c r="N16" s="10">
        <f t="shared" si="22"/>
        <v>1.6040706246637471</v>
      </c>
      <c r="O16" s="55">
        <v>54.631</v>
      </c>
      <c r="P16" s="55">
        <v>50.14</v>
      </c>
      <c r="Q16" s="85"/>
      <c r="R16" s="10">
        <f t="shared" si="23"/>
        <v>63.375194076862648</v>
      </c>
      <c r="S16" s="55">
        <v>230.732</v>
      </c>
      <c r="T16" s="55">
        <v>256.94799999999998</v>
      </c>
      <c r="U16" s="55">
        <v>23.213000000000001</v>
      </c>
      <c r="V16" s="82"/>
      <c r="W16" s="10">
        <f t="shared" si="24"/>
        <v>192.91329524747087</v>
      </c>
      <c r="X16" s="82"/>
      <c r="Y16" s="44">
        <v>0.8</v>
      </c>
      <c r="Z16" s="44">
        <v>6.2830080028500001E-5</v>
      </c>
      <c r="AA16" s="49">
        <f t="shared" si="1"/>
        <v>5.0264064022800006E-5</v>
      </c>
      <c r="AB16" s="11">
        <f t="shared" si="25"/>
        <v>363.57004453472967</v>
      </c>
      <c r="AC16" s="12">
        <f t="shared" si="26"/>
        <v>0.34393794612473472</v>
      </c>
      <c r="AD16" s="36">
        <f t="shared" si="3"/>
        <v>546</v>
      </c>
      <c r="AE16" s="51">
        <v>4385.8</v>
      </c>
      <c r="AF16" s="60">
        <v>3845.33</v>
      </c>
      <c r="AG16" s="61">
        <v>40</v>
      </c>
      <c r="AH16" s="61">
        <v>232</v>
      </c>
      <c r="AI16" s="61">
        <v>20</v>
      </c>
      <c r="AJ16" s="13">
        <f t="shared" si="11"/>
        <v>8.0326007326007325</v>
      </c>
      <c r="AK16" s="13">
        <f t="shared" si="4"/>
        <v>7.0427289377289375</v>
      </c>
      <c r="AL16" s="13">
        <f t="shared" si="12"/>
        <v>7.3260073260073263E-2</v>
      </c>
      <c r="AM16" s="13">
        <f t="shared" si="5"/>
        <v>0.4249084249084249</v>
      </c>
      <c r="AN16" s="13">
        <f t="shared" si="6"/>
        <v>3.6630036630036632E-2</v>
      </c>
      <c r="AO16" s="14">
        <f t="shared" si="27"/>
        <v>0.18521510894434109</v>
      </c>
      <c r="AP16" s="14">
        <f t="shared" si="28"/>
        <v>0.20206704450949989</v>
      </c>
      <c r="AQ16" s="53">
        <f t="shared" si="14"/>
        <v>5.6325784136435032E-4</v>
      </c>
      <c r="AR16" s="14">
        <f t="shared" si="29"/>
        <v>7.352105062028727E-3</v>
      </c>
      <c r="AS16" s="14">
        <f t="shared" si="15"/>
        <v>5.5291228917603558E-5</v>
      </c>
      <c r="AT16" s="15">
        <f t="shared" si="16"/>
        <v>0.39525280758615167</v>
      </c>
      <c r="AU16" s="16">
        <f t="shared" si="7"/>
        <v>0.87017205070647841</v>
      </c>
      <c r="AV16" s="17">
        <f t="shared" si="8"/>
        <v>187.79011858410516</v>
      </c>
      <c r="AW16" s="17">
        <f t="shared" si="9"/>
        <v>215.80803294203881</v>
      </c>
      <c r="AX16" s="87"/>
      <c r="AY16" s="10">
        <f t="shared" si="17"/>
        <v>6378.545162053988</v>
      </c>
      <c r="AZ16" s="11">
        <f t="shared" si="18"/>
        <v>6378.6</v>
      </c>
      <c r="BA16" s="47">
        <f t="shared" si="10"/>
        <v>6559.5</v>
      </c>
      <c r="BB16" s="46">
        <v>5956.1</v>
      </c>
      <c r="BC16" s="25">
        <v>603.4</v>
      </c>
      <c r="BD16" s="76">
        <v>149.4</v>
      </c>
      <c r="BE16" s="76">
        <f t="shared" si="19"/>
        <v>6528</v>
      </c>
      <c r="BF16" s="77">
        <f t="shared" si="20"/>
        <v>6528</v>
      </c>
      <c r="BG16" s="67">
        <v>7198.8</v>
      </c>
      <c r="BI16" s="70">
        <v>6625.32</v>
      </c>
      <c r="BJ16" s="43" t="s">
        <v>62</v>
      </c>
      <c r="BK16" s="2">
        <v>6528</v>
      </c>
      <c r="BL16" s="2">
        <v>6528</v>
      </c>
    </row>
    <row r="17" spans="1:64" ht="35.1" customHeight="1" x14ac:dyDescent="0.3">
      <c r="A17" s="75" t="s">
        <v>63</v>
      </c>
      <c r="B17" s="56">
        <v>1510</v>
      </c>
      <c r="C17" s="36"/>
      <c r="D17" s="56">
        <f t="shared" si="0"/>
        <v>1510</v>
      </c>
      <c r="E17" s="55">
        <v>5671.7727142857138</v>
      </c>
      <c r="F17" s="55">
        <v>6846.2005714285706</v>
      </c>
      <c r="G17" s="55">
        <v>3447.6918571428569</v>
      </c>
      <c r="H17" s="82"/>
      <c r="I17" s="10">
        <f t="shared" si="21"/>
        <v>546.50423425280474</v>
      </c>
      <c r="J17" s="55">
        <v>185.465</v>
      </c>
      <c r="K17" s="55">
        <v>316.81099999999998</v>
      </c>
      <c r="L17" s="55">
        <v>24.033999999999999</v>
      </c>
      <c r="M17" s="82"/>
      <c r="N17" s="10">
        <f t="shared" si="22"/>
        <v>81.72182664553678</v>
      </c>
      <c r="O17" s="55">
        <v>114.51300000000001</v>
      </c>
      <c r="P17" s="55">
        <v>33.843000000000004</v>
      </c>
      <c r="Q17" s="85"/>
      <c r="R17" s="10">
        <f t="shared" si="23"/>
        <v>78.114081609252835</v>
      </c>
      <c r="S17" s="55">
        <v>713.83</v>
      </c>
      <c r="T17" s="55">
        <v>1009.639</v>
      </c>
      <c r="U17" s="55">
        <v>62.505000000000003</v>
      </c>
      <c r="V17" s="82"/>
      <c r="W17" s="10">
        <f t="shared" si="24"/>
        <v>658.67275806991802</v>
      </c>
      <c r="X17" s="82"/>
      <c r="Y17" s="44">
        <v>0.8</v>
      </c>
      <c r="Z17" s="44">
        <v>5.8522488340383002E-3</v>
      </c>
      <c r="AA17" s="49">
        <f t="shared" si="1"/>
        <v>4.6817990672306407E-3</v>
      </c>
      <c r="AB17" s="11">
        <f t="shared" si="25"/>
        <v>1365.0129005775125</v>
      </c>
      <c r="AC17" s="12">
        <f t="shared" si="26"/>
        <v>0.46692212285010681</v>
      </c>
      <c r="AD17" s="36">
        <f t="shared" si="3"/>
        <v>1510</v>
      </c>
      <c r="AE17" s="51">
        <v>9592</v>
      </c>
      <c r="AF17" s="60">
        <v>13249</v>
      </c>
      <c r="AG17" s="61">
        <v>97</v>
      </c>
      <c r="AH17" s="61">
        <v>889.3</v>
      </c>
      <c r="AI17" s="61">
        <v>175</v>
      </c>
      <c r="AJ17" s="13">
        <f t="shared" si="11"/>
        <v>6.3523178807947023</v>
      </c>
      <c r="AK17" s="13">
        <f t="shared" si="4"/>
        <v>8.774172185430464</v>
      </c>
      <c r="AL17" s="13">
        <f t="shared" si="12"/>
        <v>6.4238410596026488E-2</v>
      </c>
      <c r="AM17" s="13">
        <f t="shared" si="5"/>
        <v>0.58894039735099335</v>
      </c>
      <c r="AN17" s="13">
        <f t="shared" si="6"/>
        <v>0.11589403973509933</v>
      </c>
      <c r="AO17" s="14">
        <f t="shared" si="27"/>
        <v>0.14647127219524381</v>
      </c>
      <c r="AP17" s="14">
        <f t="shared" si="28"/>
        <v>0.25174489281126894</v>
      </c>
      <c r="AQ17" s="53">
        <f t="shared" si="14"/>
        <v>4.938950628201775E-4</v>
      </c>
      <c r="AR17" s="14">
        <f t="shared" si="29"/>
        <v>1.0190317307854338E-2</v>
      </c>
      <c r="AS17" s="14">
        <f t="shared" si="15"/>
        <v>1.7493632195619268E-4</v>
      </c>
      <c r="AT17" s="15">
        <f t="shared" si="16"/>
        <v>0.40907531369914346</v>
      </c>
      <c r="AU17" s="16">
        <f t="shared" si="7"/>
        <v>1.1414087020501733</v>
      </c>
      <c r="AV17" s="17">
        <f t="shared" si="8"/>
        <v>705.05240550366125</v>
      </c>
      <c r="AW17" s="17">
        <f t="shared" si="9"/>
        <v>617.70372368570668</v>
      </c>
      <c r="AX17" s="87"/>
      <c r="AY17" s="10">
        <f t="shared" si="17"/>
        <v>17997.705193827507</v>
      </c>
      <c r="AZ17" s="11">
        <f t="shared" si="18"/>
        <v>17997.699999999997</v>
      </c>
      <c r="BA17" s="47">
        <f t="shared" si="10"/>
        <v>14788.6</v>
      </c>
      <c r="BB17" s="46">
        <v>14099</v>
      </c>
      <c r="BC17" s="25">
        <v>689.6</v>
      </c>
      <c r="BD17" s="76">
        <v>413.3</v>
      </c>
      <c r="BE17" s="76">
        <f t="shared" si="19"/>
        <v>18410.999999999996</v>
      </c>
      <c r="BF17" s="77">
        <f t="shared" si="20"/>
        <v>18410.999999999996</v>
      </c>
      <c r="BG17" s="67">
        <v>17718.7</v>
      </c>
      <c r="BI17" s="70">
        <v>17870.490000000002</v>
      </c>
      <c r="BJ17" s="43" t="s">
        <v>63</v>
      </c>
      <c r="BK17" s="2">
        <v>18411</v>
      </c>
      <c r="BL17" s="2">
        <v>18411</v>
      </c>
    </row>
    <row r="18" spans="1:64" ht="35.1" customHeight="1" x14ac:dyDescent="0.3">
      <c r="A18" s="75" t="s">
        <v>64</v>
      </c>
      <c r="B18" s="56">
        <v>1216</v>
      </c>
      <c r="C18" s="36"/>
      <c r="D18" s="56">
        <f t="shared" si="0"/>
        <v>1216</v>
      </c>
      <c r="E18" s="55">
        <v>12567.409857142857</v>
      </c>
      <c r="F18" s="55">
        <v>14291.478714285713</v>
      </c>
      <c r="G18" s="55">
        <v>7357.033428571428</v>
      </c>
      <c r="H18" s="82"/>
      <c r="I18" s="10">
        <f t="shared" si="21"/>
        <v>1169.8079002328257</v>
      </c>
      <c r="J18" s="55">
        <v>4.3920000000000003</v>
      </c>
      <c r="K18" s="55">
        <v>2.6920000000000002</v>
      </c>
      <c r="L18" s="55">
        <v>2.1230000000000002</v>
      </c>
      <c r="M18" s="82"/>
      <c r="N18" s="10">
        <f t="shared" si="22"/>
        <v>1.7476297501683615</v>
      </c>
      <c r="O18" s="55">
        <v>252.93100000000001</v>
      </c>
      <c r="P18" s="55">
        <v>108.57899999999999</v>
      </c>
      <c r="Q18" s="85"/>
      <c r="R18" s="10">
        <f t="shared" si="23"/>
        <v>198.51616134588932</v>
      </c>
      <c r="S18" s="55">
        <v>565.47730000000001</v>
      </c>
      <c r="T18" s="55">
        <v>514.13928999999996</v>
      </c>
      <c r="U18" s="55">
        <v>163.56399999999999</v>
      </c>
      <c r="V18" s="82"/>
      <c r="W18" s="10">
        <f t="shared" si="24"/>
        <v>522.2392850551995</v>
      </c>
      <c r="X18" s="82"/>
      <c r="Y18" s="44">
        <v>0.8</v>
      </c>
      <c r="Z18" s="44">
        <v>2.3588156727859999E-3</v>
      </c>
      <c r="AA18" s="49">
        <f t="shared" si="1"/>
        <v>1.8870525382288E-3</v>
      </c>
      <c r="AB18" s="11">
        <f t="shared" si="25"/>
        <v>1892.310976384083</v>
      </c>
      <c r="AC18" s="12">
        <f t="shared" si="26"/>
        <v>0.80379180926852944</v>
      </c>
      <c r="AD18" s="36">
        <f t="shared" si="3"/>
        <v>1216</v>
      </c>
      <c r="AE18" s="51">
        <v>7093.9</v>
      </c>
      <c r="AF18" s="60">
        <v>5815.67</v>
      </c>
      <c r="AG18" s="61">
        <v>193</v>
      </c>
      <c r="AH18" s="61">
        <v>878.7</v>
      </c>
      <c r="AI18" s="61">
        <v>233</v>
      </c>
      <c r="AJ18" s="13">
        <f t="shared" si="11"/>
        <v>5.8337993421052632</v>
      </c>
      <c r="AK18" s="13">
        <f t="shared" si="4"/>
        <v>4.7826233552631576</v>
      </c>
      <c r="AL18" s="13">
        <f t="shared" si="12"/>
        <v>0.15871710526315788</v>
      </c>
      <c r="AM18" s="13">
        <f t="shared" si="5"/>
        <v>0.72261513157894741</v>
      </c>
      <c r="AN18" s="13">
        <f t="shared" si="6"/>
        <v>0.19161184210526316</v>
      </c>
      <c r="AO18" s="14">
        <f t="shared" si="27"/>
        <v>0.13451531038037953</v>
      </c>
      <c r="AP18" s="14">
        <f t="shared" si="28"/>
        <v>0.13722103675223538</v>
      </c>
      <c r="AQ18" s="53">
        <f t="shared" si="14"/>
        <v>1.2202916284394017E-3</v>
      </c>
      <c r="AR18" s="14">
        <f t="shared" si="29"/>
        <v>1.2503264363198072E-2</v>
      </c>
      <c r="AS18" s="14">
        <f t="shared" si="15"/>
        <v>2.8922860034702669E-4</v>
      </c>
      <c r="AT18" s="15">
        <f t="shared" si="16"/>
        <v>0.28574913172459943</v>
      </c>
      <c r="AU18" s="16">
        <f t="shared" si="7"/>
        <v>2.8129282647942095</v>
      </c>
      <c r="AV18" s="17">
        <f t="shared" si="8"/>
        <v>977.41084007053178</v>
      </c>
      <c r="AW18" s="17">
        <f t="shared" si="9"/>
        <v>347.47094417711293</v>
      </c>
      <c r="AX18" s="87"/>
      <c r="AY18" s="10">
        <f t="shared" si="17"/>
        <v>9224.5055779117083</v>
      </c>
      <c r="AZ18" s="11">
        <f t="shared" si="18"/>
        <v>9224.5</v>
      </c>
      <c r="BA18" s="47">
        <f t="shared" si="10"/>
        <v>7562.9</v>
      </c>
      <c r="BB18" s="46">
        <v>7319.9</v>
      </c>
      <c r="BC18" s="25">
        <v>243</v>
      </c>
      <c r="BD18" s="76">
        <v>332.9</v>
      </c>
      <c r="BE18" s="76">
        <f t="shared" si="19"/>
        <v>9557.4</v>
      </c>
      <c r="BF18" s="77">
        <f t="shared" si="20"/>
        <v>9557.4</v>
      </c>
      <c r="BG18" s="67">
        <v>9566.2999999999993</v>
      </c>
      <c r="BI18" s="70">
        <v>10236.91</v>
      </c>
      <c r="BJ18" s="43" t="s">
        <v>64</v>
      </c>
      <c r="BK18" s="2">
        <v>9557.4</v>
      </c>
      <c r="BL18" s="2">
        <v>9557.4</v>
      </c>
    </row>
    <row r="19" spans="1:64" ht="35.1" customHeight="1" x14ac:dyDescent="0.3">
      <c r="A19" s="75" t="s">
        <v>65</v>
      </c>
      <c r="B19" s="56">
        <v>1330</v>
      </c>
      <c r="C19" s="36"/>
      <c r="D19" s="56">
        <f t="shared" si="0"/>
        <v>1330</v>
      </c>
      <c r="E19" s="55">
        <v>7478.1579999999994</v>
      </c>
      <c r="F19" s="55">
        <v>9700.4934285714262</v>
      </c>
      <c r="G19" s="55">
        <v>5491.1807142857142</v>
      </c>
      <c r="H19" s="82"/>
      <c r="I19" s="10">
        <f t="shared" si="21"/>
        <v>794.70562716616143</v>
      </c>
      <c r="J19" s="55">
        <v>22.268999999999998</v>
      </c>
      <c r="K19" s="55">
        <v>21.443999999999999</v>
      </c>
      <c r="L19" s="55">
        <v>18</v>
      </c>
      <c r="M19" s="82"/>
      <c r="N19" s="10">
        <f t="shared" si="22"/>
        <v>12.414100812726367</v>
      </c>
      <c r="O19" s="55">
        <v>87.052999999999997</v>
      </c>
      <c r="P19" s="55">
        <v>91.018000000000001</v>
      </c>
      <c r="Q19" s="85"/>
      <c r="R19" s="10">
        <f t="shared" si="23"/>
        <v>109.52823493181019</v>
      </c>
      <c r="S19" s="55">
        <v>612.79899999999998</v>
      </c>
      <c r="T19" s="55">
        <v>695.38099999999997</v>
      </c>
      <c r="U19" s="55">
        <v>137.679</v>
      </c>
      <c r="V19" s="82"/>
      <c r="W19" s="10">
        <f t="shared" si="24"/>
        <v>578.42529529240403</v>
      </c>
      <c r="X19" s="82"/>
      <c r="Y19" s="44">
        <v>0.8</v>
      </c>
      <c r="Z19" s="44">
        <v>3.9615515344882E-3</v>
      </c>
      <c r="AA19" s="49">
        <f t="shared" si="1"/>
        <v>3.1692412275905603E-3</v>
      </c>
      <c r="AB19" s="11">
        <f t="shared" si="25"/>
        <v>1495.0732582031019</v>
      </c>
      <c r="AC19" s="12">
        <f t="shared" si="26"/>
        <v>0.58062465773062766</v>
      </c>
      <c r="AD19" s="36">
        <f t="shared" si="3"/>
        <v>1330</v>
      </c>
      <c r="AE19" s="51">
        <v>9525.2999999999993</v>
      </c>
      <c r="AF19" s="60">
        <v>10130</v>
      </c>
      <c r="AG19" s="61">
        <v>34</v>
      </c>
      <c r="AH19" s="62">
        <v>1142.7</v>
      </c>
      <c r="AI19" s="62">
        <v>502</v>
      </c>
      <c r="AJ19" s="13">
        <f t="shared" si="11"/>
        <v>7.1618796992481197</v>
      </c>
      <c r="AK19" s="13">
        <f t="shared" si="4"/>
        <v>7.6165413533834583</v>
      </c>
      <c r="AL19" s="13">
        <f t="shared" si="12"/>
        <v>2.5563909774436091E-2</v>
      </c>
      <c r="AM19" s="13">
        <f t="shared" si="5"/>
        <v>0.85917293233082714</v>
      </c>
      <c r="AN19" s="13">
        <f t="shared" si="6"/>
        <v>0.37744360902255641</v>
      </c>
      <c r="AO19" s="14">
        <f t="shared" si="27"/>
        <v>0.1651380882606156</v>
      </c>
      <c r="AP19" s="14">
        <f t="shared" si="28"/>
        <v>0.21853063127527927</v>
      </c>
      <c r="AQ19" s="53">
        <f t="shared" si="14"/>
        <v>1.9654734148661276E-4</v>
      </c>
      <c r="AR19" s="14">
        <f t="shared" si="29"/>
        <v>1.4866096539057568E-2</v>
      </c>
      <c r="AS19" s="14">
        <f t="shared" si="15"/>
        <v>5.6973246302570652E-4</v>
      </c>
      <c r="AT19" s="15">
        <f t="shared" si="16"/>
        <v>0.39930109587946477</v>
      </c>
      <c r="AU19" s="16">
        <f t="shared" si="7"/>
        <v>1.4541023396186676</v>
      </c>
      <c r="AV19" s="17">
        <f t="shared" si="8"/>
        <v>772.23079478173474</v>
      </c>
      <c r="AW19" s="17">
        <f t="shared" si="9"/>
        <v>531.07045751968815</v>
      </c>
      <c r="AX19" s="87"/>
      <c r="AY19" s="10">
        <f t="shared" si="17"/>
        <v>15216.314450869053</v>
      </c>
      <c r="AZ19" s="11">
        <f t="shared" si="18"/>
        <v>15216.300000000001</v>
      </c>
      <c r="BA19" s="47">
        <f t="shared" si="10"/>
        <v>15838</v>
      </c>
      <c r="BB19" s="46">
        <v>15348.3</v>
      </c>
      <c r="BC19" s="25">
        <v>489.7</v>
      </c>
      <c r="BD19" s="76">
        <v>364</v>
      </c>
      <c r="BE19" s="76">
        <f t="shared" si="19"/>
        <v>15580.300000000001</v>
      </c>
      <c r="BF19" s="77">
        <f t="shared" si="20"/>
        <v>15580.300000000001</v>
      </c>
      <c r="BG19" s="67">
        <v>15688.4</v>
      </c>
      <c r="BI19" s="70">
        <v>15336.82</v>
      </c>
      <c r="BJ19" s="43" t="s">
        <v>65</v>
      </c>
      <c r="BK19" s="2">
        <v>15580.3</v>
      </c>
      <c r="BL19" s="2">
        <v>15580.3</v>
      </c>
    </row>
    <row r="20" spans="1:64" ht="35.1" customHeight="1" x14ac:dyDescent="0.3">
      <c r="A20" s="75" t="s">
        <v>66</v>
      </c>
      <c r="B20" s="56">
        <v>6868</v>
      </c>
      <c r="C20" s="56">
        <v>6868</v>
      </c>
      <c r="D20" s="36">
        <f t="shared" si="0"/>
        <v>0</v>
      </c>
      <c r="E20" s="55">
        <v>109275.004</v>
      </c>
      <c r="F20" s="55">
        <v>117590.80839892149</v>
      </c>
      <c r="G20" s="55">
        <v>52285.9542</v>
      </c>
      <c r="H20" s="83"/>
      <c r="I20" s="10">
        <f t="shared" si="21"/>
        <v>9301.6178561787074</v>
      </c>
      <c r="J20" s="55">
        <v>356.34100000000001</v>
      </c>
      <c r="K20" s="55">
        <v>438.29500000000002</v>
      </c>
      <c r="L20" s="55">
        <v>6.5469999999999997</v>
      </c>
      <c r="M20" s="83"/>
      <c r="N20" s="10">
        <f t="shared" si="22"/>
        <v>118.83153086283937</v>
      </c>
      <c r="O20" s="55">
        <v>692.12599999999998</v>
      </c>
      <c r="P20" s="55">
        <v>616.798</v>
      </c>
      <c r="Q20" s="86"/>
      <c r="R20" s="10">
        <f t="shared" si="23"/>
        <v>788.75134170620265</v>
      </c>
      <c r="S20" s="55">
        <v>2323.4060600000003</v>
      </c>
      <c r="T20" s="55">
        <v>3305.268</v>
      </c>
      <c r="U20" s="55">
        <v>3731.0749999999998</v>
      </c>
      <c r="V20" s="83"/>
      <c r="W20" s="10">
        <f t="shared" si="24"/>
        <v>5021.2061748554615</v>
      </c>
      <c r="X20" s="83"/>
      <c r="Y20" s="44">
        <v>1</v>
      </c>
      <c r="Z20" s="44">
        <v>0.49655812710189101</v>
      </c>
      <c r="AA20" s="49">
        <f t="shared" si="1"/>
        <v>0.49655812710189101</v>
      </c>
      <c r="AB20" s="11">
        <f t="shared" si="25"/>
        <v>15230.406903603209</v>
      </c>
      <c r="AC20" s="12">
        <f t="shared" si="26"/>
        <v>1.4317786286003154</v>
      </c>
      <c r="AD20" s="36">
        <f t="shared" si="3"/>
        <v>6868</v>
      </c>
      <c r="AE20" s="60">
        <v>25247</v>
      </c>
      <c r="AF20" s="60">
        <v>800</v>
      </c>
      <c r="AG20" s="63">
        <v>6253</v>
      </c>
      <c r="AH20" s="64">
        <v>2500</v>
      </c>
      <c r="AI20" s="65">
        <v>9100</v>
      </c>
      <c r="AJ20" s="13">
        <f t="shared" si="11"/>
        <v>3.6760337798485732</v>
      </c>
      <c r="AK20" s="13">
        <f t="shared" si="4"/>
        <v>0.11648223645894001</v>
      </c>
      <c r="AL20" s="13">
        <f t="shared" si="12"/>
        <v>0.91045428072218981</v>
      </c>
      <c r="AM20" s="13">
        <f t="shared" si="5"/>
        <v>0.36400698893418754</v>
      </c>
      <c r="AN20" s="13">
        <f t="shared" si="6"/>
        <v>1.3249854397204426</v>
      </c>
      <c r="AO20" s="14">
        <f t="shared" si="27"/>
        <v>8.4761712885147833E-2</v>
      </c>
      <c r="AP20" s="14">
        <f t="shared" si="28"/>
        <v>3.3420597991529045E-3</v>
      </c>
      <c r="AQ20" s="53">
        <f t="shared" si="14"/>
        <v>7.0000000000000001E-3</v>
      </c>
      <c r="AR20" s="14">
        <f t="shared" si="29"/>
        <v>6.2983397576398857E-3</v>
      </c>
      <c r="AS20" s="14">
        <f t="shared" si="15"/>
        <v>2.0000000000000365E-3</v>
      </c>
      <c r="AT20" s="15">
        <f t="shared" si="16"/>
        <v>0.10340211244194067</v>
      </c>
      <c r="AU20" s="16">
        <f t="shared" si="7"/>
        <v>13.846705785669958</v>
      </c>
      <c r="AV20" s="17">
        <f t="shared" si="8"/>
        <v>9833.4556212269654</v>
      </c>
      <c r="AW20" s="17">
        <f t="shared" si="9"/>
        <v>710.16570825124847</v>
      </c>
      <c r="AX20" s="87"/>
      <c r="AY20" s="10">
        <f t="shared" si="17"/>
        <v>6716.7836647640288</v>
      </c>
      <c r="AZ20" s="11">
        <f t="shared" si="18"/>
        <v>6716.7000000000007</v>
      </c>
      <c r="BA20" s="47">
        <f t="shared" si="10"/>
        <v>8429.7999999999993</v>
      </c>
      <c r="BB20" s="46">
        <v>4156.8999999999996</v>
      </c>
      <c r="BC20" s="25">
        <v>4272.8999999999996</v>
      </c>
      <c r="BD20" s="76">
        <v>1879.9</v>
      </c>
      <c r="BE20" s="76">
        <f t="shared" si="19"/>
        <v>8596.6</v>
      </c>
      <c r="BF20" s="77">
        <f t="shared" si="20"/>
        <v>8596.6</v>
      </c>
      <c r="BG20" s="67">
        <v>7619</v>
      </c>
      <c r="BI20" s="70">
        <v>9709.02</v>
      </c>
      <c r="BJ20" s="43" t="s">
        <v>66</v>
      </c>
      <c r="BK20" s="2">
        <v>8596.6</v>
      </c>
      <c r="BL20" s="2">
        <v>8596.6</v>
      </c>
    </row>
    <row r="21" spans="1:64" s="1" customFormat="1" ht="35.1" customHeight="1" x14ac:dyDescent="0.3">
      <c r="A21" s="18" t="s">
        <v>52</v>
      </c>
      <c r="B21" s="38">
        <f t="shared" ref="B21:G21" si="30">SUM(B7:B20)</f>
        <v>16705</v>
      </c>
      <c r="C21" s="38">
        <f t="shared" si="30"/>
        <v>6868</v>
      </c>
      <c r="D21" s="38">
        <f t="shared" si="30"/>
        <v>9837</v>
      </c>
      <c r="E21" s="21">
        <f t="shared" si="30"/>
        <v>166597.47914285713</v>
      </c>
      <c r="F21" s="21">
        <f t="shared" si="30"/>
        <v>186986.39982749289</v>
      </c>
      <c r="G21" s="21">
        <f t="shared" si="30"/>
        <v>89741.175914285704</v>
      </c>
      <c r="H21" s="19"/>
      <c r="I21" s="18"/>
      <c r="J21" s="21">
        <f>SUM(J7:J20)</f>
        <v>1096.2750000000001</v>
      </c>
      <c r="K21" s="21">
        <f>SUM(K7:K20)</f>
        <v>1282.731</v>
      </c>
      <c r="L21" s="21">
        <f>SUM(L7:L20)</f>
        <v>564.54200000000003</v>
      </c>
      <c r="M21" s="19"/>
      <c r="N21" s="18"/>
      <c r="O21" s="21">
        <f>SUM(O7:O20)</f>
        <v>1578.415</v>
      </c>
      <c r="P21" s="21">
        <f>SUM(P7:P20)</f>
        <v>1143.2660000000001</v>
      </c>
      <c r="Q21" s="19"/>
      <c r="R21" s="20"/>
      <c r="S21" s="21">
        <f>SUM(S7:S20)</f>
        <v>6665.0913599999994</v>
      </c>
      <c r="T21" s="21">
        <f>SUM(T7:T20)</f>
        <v>9478.1772899999996</v>
      </c>
      <c r="U21" s="21">
        <f>SUM(U7:U20)</f>
        <v>3765.4169999999999</v>
      </c>
      <c r="V21" s="19"/>
      <c r="W21" s="18"/>
      <c r="X21" s="19"/>
      <c r="Y21" s="19"/>
      <c r="Z21" s="19"/>
      <c r="AA21" s="18"/>
      <c r="AB21" s="21">
        <f>SUM(AB7:AB20)</f>
        <v>25873.299999999996</v>
      </c>
      <c r="AC21" s="18"/>
      <c r="AD21" s="38">
        <f t="shared" ref="AD21:AI21" si="31">SUM(AD7:AD20)</f>
        <v>16705</v>
      </c>
      <c r="AE21" s="22">
        <f t="shared" si="31"/>
        <v>108731.09999999999</v>
      </c>
      <c r="AF21" s="22">
        <f t="shared" si="31"/>
        <v>79709.710000000006</v>
      </c>
      <c r="AG21" s="22">
        <f>SUM(AG7:AG20)</f>
        <v>7323</v>
      </c>
      <c r="AH21" s="22">
        <f>SUM(AH7:AH20)</f>
        <v>7760</v>
      </c>
      <c r="AI21" s="22">
        <f t="shared" si="31"/>
        <v>11236</v>
      </c>
      <c r="AJ21" s="23">
        <f>MAX(AJ7:AJ20)</f>
        <v>20.556923076923077</v>
      </c>
      <c r="AK21" s="23">
        <f>MAX(AK7:AK20)</f>
        <v>16.834205128205127</v>
      </c>
      <c r="AL21" s="23">
        <f>MAX(AL7:AL20)</f>
        <v>0.91045428072218981</v>
      </c>
      <c r="AM21" s="23">
        <f>MAX(AM7:AM20)</f>
        <v>1.9650000000000001</v>
      </c>
      <c r="AN21" s="23">
        <f>MAX(AN7:AN20)</f>
        <v>1.3249854397204426</v>
      </c>
      <c r="AO21" s="24"/>
      <c r="AP21" s="24"/>
      <c r="AQ21" s="24"/>
      <c r="AR21" s="24"/>
      <c r="AS21" s="24"/>
      <c r="AT21" s="24"/>
      <c r="AU21" s="25"/>
      <c r="AV21" s="17">
        <f>SUM(AV7:AV20)</f>
        <v>15330.691124245393</v>
      </c>
      <c r="AW21" s="17">
        <f>SUM(AW7:AW20)</f>
        <v>5001.6439582096536</v>
      </c>
      <c r="AX21" s="18"/>
      <c r="AY21" s="21">
        <f>SUM(AY7:AY20)</f>
        <v>130827.69999999998</v>
      </c>
      <c r="AZ21" s="72">
        <f>SUM(AZ7:AZ20)</f>
        <v>130827.70000000001</v>
      </c>
      <c r="BA21" s="46">
        <f>SUM(BA7:BA20)</f>
        <v>120088</v>
      </c>
      <c r="BB21" s="46">
        <f>SUM(BB7:BB20)</f>
        <v>110152.09999999999</v>
      </c>
      <c r="BC21" s="46">
        <f>SUM(BC7:BC20)</f>
        <v>9935.9</v>
      </c>
      <c r="BD21" s="78">
        <v>4572.3</v>
      </c>
      <c r="BE21" s="76">
        <f t="shared" ref="BE21" si="32">AZ21+BD21</f>
        <v>135400</v>
      </c>
      <c r="BF21" s="77">
        <f>SUM(BF7:BF20)</f>
        <v>135400</v>
      </c>
      <c r="BG21" s="73">
        <f>SUM(BG7:BG20)</f>
        <v>130554.5</v>
      </c>
      <c r="BI21" s="71">
        <v>135380.70000000001</v>
      </c>
      <c r="BK21" s="1">
        <f>SUM(BK7:BK20)</f>
        <v>135400</v>
      </c>
      <c r="BL21" s="1">
        <v>135400</v>
      </c>
    </row>
    <row r="22" spans="1:64" x14ac:dyDescent="0.25">
      <c r="Z22" s="51"/>
      <c r="AX22" s="29"/>
      <c r="AY22" s="29"/>
      <c r="AZ22" s="26"/>
    </row>
    <row r="23" spans="1:64" x14ac:dyDescent="0.25">
      <c r="Z23" s="51"/>
      <c r="AU23" s="39"/>
      <c r="AX23" s="2"/>
      <c r="AY23" s="2"/>
      <c r="AZ23" s="54">
        <v>130827.7</v>
      </c>
    </row>
    <row r="24" spans="1:64" x14ac:dyDescent="0.25">
      <c r="Z24" s="51"/>
      <c r="AU24" s="39"/>
      <c r="AX24" s="29"/>
      <c r="AY24" s="29"/>
      <c r="AZ24" s="26">
        <v>4572.3</v>
      </c>
    </row>
    <row r="25" spans="1:64" x14ac:dyDescent="0.25">
      <c r="Z25" s="51"/>
      <c r="AU25" s="39"/>
      <c r="AX25" s="29"/>
      <c r="AY25" s="29"/>
      <c r="AZ25" s="26">
        <v>40.4</v>
      </c>
    </row>
    <row r="26" spans="1:64" x14ac:dyDescent="0.25">
      <c r="Z26" s="51"/>
      <c r="AU26" s="40"/>
      <c r="AX26" s="29"/>
      <c r="AY26" s="29"/>
      <c r="AZ26" s="26">
        <v>122038.9</v>
      </c>
    </row>
    <row r="27" spans="1:64" x14ac:dyDescent="0.25">
      <c r="Z27" s="51"/>
      <c r="AU27" s="39"/>
      <c r="AX27" s="29"/>
      <c r="AY27" s="29" t="s">
        <v>74</v>
      </c>
      <c r="AZ27" s="26">
        <v>8556</v>
      </c>
    </row>
    <row r="28" spans="1:64" x14ac:dyDescent="0.25">
      <c r="Z28" s="51"/>
      <c r="AU28" s="39"/>
      <c r="AX28" s="29"/>
      <c r="AY28" s="29"/>
      <c r="AZ28" s="26"/>
    </row>
    <row r="29" spans="1:64" x14ac:dyDescent="0.25">
      <c r="Z29" s="51"/>
      <c r="AU29" s="39"/>
      <c r="AX29" s="29"/>
      <c r="AY29" s="29"/>
      <c r="AZ29" s="26"/>
    </row>
    <row r="30" spans="1:64" x14ac:dyDescent="0.25">
      <c r="Z30" s="51"/>
      <c r="AU30" s="41"/>
      <c r="AX30" s="29"/>
      <c r="AY30" s="29"/>
      <c r="AZ30" s="26"/>
    </row>
    <row r="31" spans="1:64" x14ac:dyDescent="0.25">
      <c r="Z31" s="51"/>
      <c r="AX31" s="29"/>
      <c r="AY31" s="29"/>
      <c r="AZ31" s="26"/>
    </row>
    <row r="32" spans="1:64" x14ac:dyDescent="0.25">
      <c r="Z32" s="51"/>
      <c r="AX32" s="30"/>
      <c r="AY32" s="29"/>
      <c r="AZ32" s="42"/>
    </row>
    <row r="33" spans="26:26" x14ac:dyDescent="0.25">
      <c r="Z33" s="51"/>
    </row>
    <row r="34" spans="26:26" x14ac:dyDescent="0.25">
      <c r="Z34" s="51"/>
    </row>
    <row r="35" spans="26:26" x14ac:dyDescent="0.25">
      <c r="Z35" s="60"/>
    </row>
  </sheetData>
  <mergeCells count="38">
    <mergeCell ref="BA5:BC5"/>
    <mergeCell ref="B1:N1"/>
    <mergeCell ref="B2:N2"/>
    <mergeCell ref="A5:A6"/>
    <mergeCell ref="B5:B6"/>
    <mergeCell ref="C5:C6"/>
    <mergeCell ref="D5:D6"/>
    <mergeCell ref="E5:I5"/>
    <mergeCell ref="J5:N5"/>
    <mergeCell ref="AG5:AG6"/>
    <mergeCell ref="O5:R5"/>
    <mergeCell ref="S5:W5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Z5:AZ6"/>
    <mergeCell ref="AH5:AH6"/>
    <mergeCell ref="AI5:AI6"/>
    <mergeCell ref="AJ5:AN5"/>
    <mergeCell ref="AO5:AS5"/>
    <mergeCell ref="AT5:AT6"/>
    <mergeCell ref="AU5:AU6"/>
    <mergeCell ref="AX7:AX20"/>
    <mergeCell ref="AV5:AV6"/>
    <mergeCell ref="AW5:AW6"/>
    <mergeCell ref="AX5:AX6"/>
    <mergeCell ref="AY5:AY6"/>
    <mergeCell ref="H7:H20"/>
    <mergeCell ref="M7:M20"/>
    <mergeCell ref="Q7:Q20"/>
    <mergeCell ref="V7:V20"/>
    <mergeCell ref="X7:X20"/>
  </mergeCells>
  <conditionalFormatting sqref="AJ7:AN20">
    <cfRule type="cellIs" dxfId="2" priority="43" operator="equal">
      <formula>AJ$17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Width="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2"/>
  <sheetViews>
    <sheetView topLeftCell="A7" workbookViewId="0">
      <pane xSplit="1" topLeftCell="AQ1" activePane="topRight" state="frozen"/>
      <selection activeCell="A3" sqref="A3"/>
      <selection pane="topRight" activeCell="BD7" sqref="BD7:BD20"/>
    </sheetView>
  </sheetViews>
  <sheetFormatPr defaultColWidth="9.140625" defaultRowHeight="15.75" x14ac:dyDescent="0.25"/>
  <cols>
    <col min="1" max="1" width="40.28515625" style="2" customWidth="1"/>
    <col min="2" max="4" width="10.28515625" style="2" customWidth="1"/>
    <col min="5" max="7" width="13.28515625" style="2" customWidth="1"/>
    <col min="8" max="8" width="11.140625" style="2" customWidth="1"/>
    <col min="9" max="9" width="10.140625" style="2" customWidth="1"/>
    <col min="10" max="12" width="11" style="2" customWidth="1"/>
    <col min="13" max="13" width="9.140625" style="2"/>
    <col min="14" max="14" width="8.28515625" style="2" customWidth="1"/>
    <col min="15" max="15" width="11.140625" style="2" customWidth="1"/>
    <col min="16" max="16" width="11" style="2" customWidth="1"/>
    <col min="17" max="17" width="10.28515625" style="2" customWidth="1"/>
    <col min="18" max="18" width="10.140625" style="2" bestFit="1" customWidth="1"/>
    <col min="19" max="20" width="12.42578125" style="2" bestFit="1" customWidth="1"/>
    <col min="21" max="21" width="12.28515625" style="2" customWidth="1"/>
    <col min="22" max="22" width="10.5703125" style="2" customWidth="1"/>
    <col min="23" max="23" width="10.42578125" style="2" customWidth="1"/>
    <col min="24" max="24" width="11.140625" style="2" customWidth="1"/>
    <col min="25" max="25" width="16.28515625" style="26" customWidth="1"/>
    <col min="26" max="26" width="16.42578125" style="26" customWidth="1"/>
    <col min="27" max="27" width="17.28515625" style="26" customWidth="1"/>
    <col min="28" max="28" width="12.42578125" style="2" customWidth="1"/>
    <col min="29" max="29" width="9.140625" style="1"/>
    <col min="30" max="30" width="11.7109375" style="29" customWidth="1"/>
    <col min="31" max="31" width="14.42578125" style="30" customWidth="1"/>
    <col min="32" max="35" width="13.42578125" style="30" customWidth="1"/>
    <col min="36" max="40" width="9.140625" style="1"/>
    <col min="41" max="46" width="9.140625" style="29"/>
    <col min="47" max="47" width="9.140625" style="2"/>
    <col min="48" max="49" width="9.140625" style="1"/>
    <col min="50" max="50" width="21" style="1" customWidth="1"/>
    <col min="51" max="51" width="13.140625" style="1" customWidth="1"/>
    <col min="52" max="52" width="14.28515625" style="2" customWidth="1"/>
    <col min="53" max="53" width="18.28515625" style="2" customWidth="1"/>
    <col min="54" max="54" width="13.140625" style="2" customWidth="1"/>
    <col min="55" max="55" width="11" customWidth="1"/>
    <col min="56" max="56" width="11.7109375" customWidth="1"/>
    <col min="57" max="57" width="8.85546875" customWidth="1"/>
    <col min="58" max="16384" width="9.140625" style="2"/>
  </cols>
  <sheetData>
    <row r="1" spans="1:56" s="26" customFormat="1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X1" s="2"/>
      <c r="AB1" s="2"/>
      <c r="AC1" s="1"/>
      <c r="AD1" s="29"/>
      <c r="AE1" s="30"/>
      <c r="AF1" s="30"/>
      <c r="AG1" s="30"/>
      <c r="AH1" s="30"/>
      <c r="AI1" s="30"/>
      <c r="AJ1" s="1"/>
      <c r="AK1" s="1"/>
      <c r="AL1" s="1"/>
      <c r="AM1" s="1"/>
      <c r="AN1" s="1"/>
      <c r="AO1" s="29"/>
      <c r="AP1" s="29"/>
      <c r="AQ1" s="29"/>
      <c r="AR1" s="29"/>
      <c r="AS1" s="29"/>
      <c r="AT1" s="29"/>
      <c r="AU1" s="2"/>
      <c r="AV1" s="1"/>
      <c r="AW1" s="1"/>
      <c r="AX1" s="1"/>
      <c r="AY1" s="1"/>
      <c r="AZ1" s="2"/>
    </row>
    <row r="2" spans="1:56" s="26" customFormat="1" ht="51.75" customHeight="1" x14ac:dyDescent="0.25">
      <c r="B2" s="107" t="s">
        <v>71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X2" s="2"/>
      <c r="AB2" s="2"/>
      <c r="AC2" s="1"/>
      <c r="AD2" s="29"/>
      <c r="AE2" s="31"/>
      <c r="AF2" s="31"/>
      <c r="AG2" s="31"/>
      <c r="AH2" s="31"/>
      <c r="AI2" s="31"/>
      <c r="AJ2" s="1"/>
      <c r="AK2" s="1"/>
      <c r="AL2" s="1"/>
      <c r="AM2" s="1"/>
      <c r="AN2" s="1"/>
      <c r="AO2" s="29"/>
      <c r="AP2" s="29"/>
      <c r="AQ2" s="29"/>
      <c r="AR2" s="29"/>
      <c r="AS2" s="29"/>
      <c r="AT2" s="29"/>
      <c r="AU2" s="2"/>
      <c r="AV2" s="1"/>
      <c r="AW2" s="1"/>
      <c r="AX2" s="1"/>
      <c r="AY2" s="1"/>
      <c r="AZ2" s="2"/>
    </row>
    <row r="3" spans="1:56" ht="27" x14ac:dyDescent="0.45">
      <c r="AE3" s="27" t="s">
        <v>1</v>
      </c>
      <c r="AF3" s="27" t="s">
        <v>2</v>
      </c>
      <c r="AG3" s="27" t="s">
        <v>3</v>
      </c>
      <c r="AH3" s="27" t="s">
        <v>4</v>
      </c>
      <c r="AI3" s="27" t="s">
        <v>5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X3" s="33">
        <f>(AZ23/(X7/B21)+AV21)/AW21</f>
        <v>17.251540277342073</v>
      </c>
      <c r="AY3" s="2"/>
    </row>
    <row r="4" spans="1:56" x14ac:dyDescent="0.25">
      <c r="B4" s="3"/>
      <c r="G4" s="4"/>
      <c r="Y4" s="2"/>
      <c r="Z4" s="2"/>
      <c r="AA4" s="2"/>
      <c r="AD4" s="1"/>
      <c r="AE4" s="34">
        <v>0.47399999999999998</v>
      </c>
      <c r="AF4" s="34">
        <v>0.48299999999999998</v>
      </c>
      <c r="AG4" s="34">
        <v>7.0000000000000001E-3</v>
      </c>
      <c r="AH4" s="34">
        <v>3.4000000000000002E-2</v>
      </c>
      <c r="AI4" s="28">
        <f>1-AE4-AF4-AG4-AH4</f>
        <v>2.0000000000000365E-3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Z4" s="6"/>
    </row>
    <row r="5" spans="1:56" ht="15.75" customHeight="1" x14ac:dyDescent="0.25">
      <c r="A5" s="108" t="s">
        <v>6</v>
      </c>
      <c r="B5" s="103" t="s">
        <v>7</v>
      </c>
      <c r="C5" s="103" t="s">
        <v>8</v>
      </c>
      <c r="D5" s="103" t="s">
        <v>9</v>
      </c>
      <c r="E5" s="110" t="s">
        <v>10</v>
      </c>
      <c r="F5" s="111"/>
      <c r="G5" s="111"/>
      <c r="H5" s="111"/>
      <c r="I5" s="112"/>
      <c r="J5" s="110" t="s">
        <v>11</v>
      </c>
      <c r="K5" s="111"/>
      <c r="L5" s="111"/>
      <c r="M5" s="111"/>
      <c r="N5" s="112"/>
      <c r="O5" s="110" t="s">
        <v>12</v>
      </c>
      <c r="P5" s="111"/>
      <c r="Q5" s="111"/>
      <c r="R5" s="112"/>
      <c r="S5" s="110" t="s">
        <v>13</v>
      </c>
      <c r="T5" s="111"/>
      <c r="U5" s="111"/>
      <c r="V5" s="111"/>
      <c r="W5" s="112"/>
      <c r="X5" s="88" t="s">
        <v>14</v>
      </c>
      <c r="Y5" s="88" t="s">
        <v>15</v>
      </c>
      <c r="Z5" s="88" t="s">
        <v>16</v>
      </c>
      <c r="AA5" s="88" t="s">
        <v>17</v>
      </c>
      <c r="AB5" s="88" t="s">
        <v>18</v>
      </c>
      <c r="AC5" s="101" t="s">
        <v>19</v>
      </c>
      <c r="AD5" s="103" t="s">
        <v>7</v>
      </c>
      <c r="AE5" s="91" t="s">
        <v>20</v>
      </c>
      <c r="AF5" s="91" t="s">
        <v>21</v>
      </c>
      <c r="AG5" s="91" t="s">
        <v>22</v>
      </c>
      <c r="AH5" s="91" t="s">
        <v>23</v>
      </c>
      <c r="AI5" s="91" t="s">
        <v>24</v>
      </c>
      <c r="AJ5" s="93" t="s">
        <v>25</v>
      </c>
      <c r="AK5" s="94"/>
      <c r="AL5" s="94"/>
      <c r="AM5" s="94"/>
      <c r="AN5" s="95"/>
      <c r="AO5" s="96" t="s">
        <v>26</v>
      </c>
      <c r="AP5" s="97"/>
      <c r="AQ5" s="97"/>
      <c r="AR5" s="97"/>
      <c r="AS5" s="98"/>
      <c r="AT5" s="99" t="s">
        <v>27</v>
      </c>
      <c r="AU5" s="90" t="s">
        <v>28</v>
      </c>
      <c r="AV5" s="88" t="s">
        <v>29</v>
      </c>
      <c r="AW5" s="90" t="s">
        <v>30</v>
      </c>
      <c r="AX5" s="90" t="s">
        <v>31</v>
      </c>
      <c r="AY5" s="88" t="s">
        <v>32</v>
      </c>
      <c r="AZ5" s="90" t="s">
        <v>70</v>
      </c>
      <c r="BA5" s="105"/>
      <c r="BB5" s="105"/>
    </row>
    <row r="6" spans="1:56" s="9" customFormat="1" ht="90.75" customHeight="1" x14ac:dyDescent="0.25">
      <c r="A6" s="109"/>
      <c r="B6" s="104"/>
      <c r="C6" s="104"/>
      <c r="D6" s="104"/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35" t="s">
        <v>38</v>
      </c>
      <c r="K6" s="35" t="s">
        <v>39</v>
      </c>
      <c r="L6" s="35" t="s">
        <v>40</v>
      </c>
      <c r="M6" s="7" t="s">
        <v>41</v>
      </c>
      <c r="N6" s="7" t="s">
        <v>42</v>
      </c>
      <c r="O6" s="7" t="s">
        <v>38</v>
      </c>
      <c r="P6" s="7" t="s">
        <v>39</v>
      </c>
      <c r="Q6" s="7" t="s">
        <v>43</v>
      </c>
      <c r="R6" s="7" t="s">
        <v>44</v>
      </c>
      <c r="S6" s="7" t="s">
        <v>38</v>
      </c>
      <c r="T6" s="7" t="s">
        <v>39</v>
      </c>
      <c r="U6" s="7" t="s">
        <v>40</v>
      </c>
      <c r="V6" s="7" t="s">
        <v>45</v>
      </c>
      <c r="W6" s="7" t="s">
        <v>46</v>
      </c>
      <c r="X6" s="89"/>
      <c r="Y6" s="89"/>
      <c r="Z6" s="89"/>
      <c r="AA6" s="89"/>
      <c r="AB6" s="89"/>
      <c r="AC6" s="102"/>
      <c r="AD6" s="104"/>
      <c r="AE6" s="92"/>
      <c r="AF6" s="92"/>
      <c r="AG6" s="92"/>
      <c r="AH6" s="92"/>
      <c r="AI6" s="92"/>
      <c r="AJ6" s="8" t="s">
        <v>47</v>
      </c>
      <c r="AK6" s="8" t="s">
        <v>48</v>
      </c>
      <c r="AL6" s="8" t="s">
        <v>49</v>
      </c>
      <c r="AM6" s="8" t="s">
        <v>50</v>
      </c>
      <c r="AN6" s="8" t="s">
        <v>51</v>
      </c>
      <c r="AO6" s="8" t="s">
        <v>47</v>
      </c>
      <c r="AP6" s="8" t="s">
        <v>48</v>
      </c>
      <c r="AQ6" s="8" t="s">
        <v>49</v>
      </c>
      <c r="AR6" s="8" t="s">
        <v>50</v>
      </c>
      <c r="AS6" s="8" t="s">
        <v>51</v>
      </c>
      <c r="AT6" s="100"/>
      <c r="AU6" s="90"/>
      <c r="AV6" s="89"/>
      <c r="AW6" s="90"/>
      <c r="AX6" s="90"/>
      <c r="AY6" s="89"/>
      <c r="AZ6" s="90"/>
      <c r="BA6" s="48"/>
      <c r="BB6" s="48"/>
    </row>
    <row r="7" spans="1:56" ht="19.5" customHeight="1" x14ac:dyDescent="0.25">
      <c r="A7" s="43" t="s">
        <v>53</v>
      </c>
      <c r="B7" s="57">
        <v>1071</v>
      </c>
      <c r="C7" s="36">
        <v>0</v>
      </c>
      <c r="D7" s="56">
        <f t="shared" ref="D7:D20" si="0">B7-C7</f>
        <v>1071</v>
      </c>
      <c r="E7" s="55">
        <v>6081.9538571428575</v>
      </c>
      <c r="F7" s="55">
        <v>7206.2901428571422</v>
      </c>
      <c r="G7" s="55">
        <v>4498.225571428572</v>
      </c>
      <c r="H7" s="81">
        <v>15083.2</v>
      </c>
      <c r="I7" s="10">
        <f>H$7*((0.3*E7/E$21)+(0.35*F7/F$21)+(0.35*G7/G$21))</f>
        <v>633.25766688390752</v>
      </c>
      <c r="J7" s="55">
        <v>107.652</v>
      </c>
      <c r="K7" s="55">
        <v>103.15</v>
      </c>
      <c r="L7" s="55">
        <v>72.046999999999997</v>
      </c>
      <c r="M7" s="81">
        <v>537.29999999999995</v>
      </c>
      <c r="N7" s="10">
        <f>M$7*((0.3*J7/J$21)+(0.35*K7/K$21)+(0.35*L7/L$21))</f>
        <v>54.950486424192505</v>
      </c>
      <c r="O7" s="55">
        <v>59.953000000000003</v>
      </c>
      <c r="P7" s="55">
        <v>68.147000000000006</v>
      </c>
      <c r="Q7" s="84">
        <v>1596.5</v>
      </c>
      <c r="R7" s="10">
        <f>Q$7*((0.45*O7/O$21)+(0.55*P7/P$21))</f>
        <v>79.627645851079691</v>
      </c>
      <c r="S7" s="55">
        <v>436.09699999999998</v>
      </c>
      <c r="T7" s="55">
        <v>504.733</v>
      </c>
      <c r="U7" s="55">
        <v>118.54600000000001</v>
      </c>
      <c r="V7" s="81">
        <v>8886.2999999999993</v>
      </c>
      <c r="W7" s="10">
        <f>V$7*((0.3*S7/S$21)+(0.35*T7/T$21)+(0.35*U7/U$21))</f>
        <v>437.97227929402771</v>
      </c>
      <c r="X7" s="81">
        <f>V7+Q7+M7+H7</f>
        <v>26103.3</v>
      </c>
      <c r="Y7" s="44">
        <v>0.8</v>
      </c>
      <c r="Z7" s="44">
        <v>1.8617680945577E-3</v>
      </c>
      <c r="AA7" s="49">
        <f t="shared" ref="AA7:AA20" si="1">Y7*Z7</f>
        <v>1.4894144756461601E-3</v>
      </c>
      <c r="AB7" s="11">
        <f t="shared" ref="AB7" si="2">I7+N7+R7+W7</f>
        <v>1205.8080784532074</v>
      </c>
      <c r="AC7" s="12">
        <f>(AB7/B7)*(B$21/AB$21)*Y7</f>
        <v>0.57640769584515628</v>
      </c>
      <c r="AD7" s="36">
        <f t="shared" ref="AD7:AD20" si="3">B7</f>
        <v>1071</v>
      </c>
      <c r="AE7" s="51">
        <v>7224.9</v>
      </c>
      <c r="AF7" s="60">
        <v>8410</v>
      </c>
      <c r="AG7" s="61">
        <v>1</v>
      </c>
      <c r="AH7" s="61">
        <v>572</v>
      </c>
      <c r="AI7" s="61">
        <v>110</v>
      </c>
      <c r="AJ7" s="13">
        <f>IF(AD7=0, ,AE7/AD7)</f>
        <v>6.7459383753501401</v>
      </c>
      <c r="AK7" s="13">
        <f t="shared" ref="AK7:AK20" si="4">IF(AD7=0, ,AF7/AD7)</f>
        <v>7.852474323062558</v>
      </c>
      <c r="AL7" s="13">
        <f t="shared" ref="AL7:AL20" si="5">IF(AD7=0, ,AG7/AD7)</f>
        <v>9.3370681605975728E-4</v>
      </c>
      <c r="AM7" s="13">
        <f t="shared" ref="AM7:AM20" si="6">IF(AD7=0, ,AH7/AD7)</f>
        <v>0.53408029878618113</v>
      </c>
      <c r="AN7" s="13">
        <f t="shared" ref="AN7:AN20" si="7">IF(AD7=0, ,AI7/AD7)</f>
        <v>0.10270774976657329</v>
      </c>
      <c r="AO7" s="14">
        <f t="shared" ref="AO7:AS20" si="8">AJ7/AJ$21*AE$4</f>
        <v>0.15554734421833394</v>
      </c>
      <c r="AP7" s="14">
        <f t="shared" si="8"/>
        <v>0.22529992174591018</v>
      </c>
      <c r="AQ7" s="14">
        <f t="shared" si="8"/>
        <v>7.1787764095456409E-6</v>
      </c>
      <c r="AR7" s="14">
        <f t="shared" si="8"/>
        <v>9.2410840502443557E-3</v>
      </c>
      <c r="AS7" s="14">
        <f t="shared" si="8"/>
        <v>1.5503226931798644E-4</v>
      </c>
      <c r="AT7" s="15">
        <f t="shared" ref="AT7:AT20" si="9">IF(AD7=0,0,AO7+AP7+AQ7+AR7+AS7)</f>
        <v>0.39025056106021605</v>
      </c>
      <c r="AU7" s="16">
        <f t="shared" ref="AU7:AU20" si="10">AC7/AT7</f>
        <v>1.4770195186374531</v>
      </c>
      <c r="AV7" s="17">
        <f t="shared" ref="AV7:AV20" si="11">AU7*AT7*B7</f>
        <v>617.33264225016239</v>
      </c>
      <c r="AW7" s="17">
        <f t="shared" ref="AW7:AW20" si="12">AT7*B7</f>
        <v>417.95835089549138</v>
      </c>
      <c r="AX7" s="87">
        <v>17.251449000000001</v>
      </c>
      <c r="AY7" s="10">
        <f>IF((X$7/B$21)*(AX$3-AU7)*AT7*B7&lt;0,0,(X$7/B$21)*(AX$3-AU7)*AT7*B7)</f>
        <v>10302.393069047979</v>
      </c>
      <c r="AZ7" s="37">
        <f>ROUNDUP(IF((X$7/B$21*(AX$7-AU7)*AT7*B7)&lt;0,0,(X$7/B$21*(AX$7-AU7)*AT7*B7)),1)</f>
        <v>10302.4</v>
      </c>
      <c r="BA7" s="66">
        <v>10302.4</v>
      </c>
      <c r="BB7" s="68">
        <v>242.2</v>
      </c>
      <c r="BC7" s="67">
        <f>BA7+BB7</f>
        <v>10544.6</v>
      </c>
      <c r="BD7">
        <v>10544.6</v>
      </c>
    </row>
    <row r="8" spans="1:56" ht="19.5" customHeight="1" x14ac:dyDescent="0.25">
      <c r="A8" s="43" t="s">
        <v>54</v>
      </c>
      <c r="B8" s="57">
        <v>380</v>
      </c>
      <c r="C8" s="36">
        <v>0</v>
      </c>
      <c r="D8" s="56">
        <f t="shared" si="0"/>
        <v>380</v>
      </c>
      <c r="E8" s="55">
        <v>2751.6365714285712</v>
      </c>
      <c r="F8" s="55">
        <v>3241.2989999999995</v>
      </c>
      <c r="G8" s="55">
        <v>1434.9911428571429</v>
      </c>
      <c r="H8" s="82"/>
      <c r="I8" s="10">
        <f>H$7*((0.3*E8/E$21)+(0.35*F8/F$21)+(0.35*G8/G$21))</f>
        <v>250.66260894441768</v>
      </c>
      <c r="J8" s="59">
        <v>0</v>
      </c>
      <c r="K8" s="59">
        <v>0</v>
      </c>
      <c r="L8" s="59">
        <v>0</v>
      </c>
      <c r="M8" s="82"/>
      <c r="N8" s="10">
        <f>M$7*((0.3*J8/J$21)+(0.35*K8/K$21)+(0.35*L8/L$21))</f>
        <v>0</v>
      </c>
      <c r="O8" s="55">
        <v>26.620999999999999</v>
      </c>
      <c r="P8" s="55">
        <v>16.879000000000001</v>
      </c>
      <c r="Q8" s="85"/>
      <c r="R8" s="10">
        <f>Q$7*((0.45*O8/O$21)+(0.55*P8/P$21))</f>
        <v>25.080468550822381</v>
      </c>
      <c r="S8" s="55">
        <v>205.03299999999999</v>
      </c>
      <c r="T8" s="55">
        <v>243.01900000000001</v>
      </c>
      <c r="U8" s="55">
        <v>63.863999999999997</v>
      </c>
      <c r="V8" s="82"/>
      <c r="W8" s="10">
        <f>V$7*((0.3*S8/S$21)+(0.35*T8/T$21)+(0.35*U8/U$21))</f>
        <v>214.50503185982708</v>
      </c>
      <c r="X8" s="82"/>
      <c r="Y8" s="44">
        <v>0.8</v>
      </c>
      <c r="Z8" s="44">
        <v>2.0082987503890001E-4</v>
      </c>
      <c r="AA8" s="49">
        <f t="shared" si="1"/>
        <v>1.6066390003112002E-4</v>
      </c>
      <c r="AB8" s="11">
        <f>I8+N8+R8+W8</f>
        <v>490.24810935506719</v>
      </c>
      <c r="AC8" s="12">
        <f>(AB8/B8)*(B$21/AB$21)*Y8</f>
        <v>0.66050085353405796</v>
      </c>
      <c r="AD8" s="36">
        <f t="shared" si="3"/>
        <v>380</v>
      </c>
      <c r="AE8" s="51">
        <v>6754</v>
      </c>
      <c r="AF8" s="60">
        <v>4044.67</v>
      </c>
      <c r="AG8" s="61">
        <v>5</v>
      </c>
      <c r="AH8" s="61">
        <v>746.7</v>
      </c>
      <c r="AI8" s="61">
        <v>201</v>
      </c>
      <c r="AJ8" s="13">
        <f t="shared" ref="AJ8:AJ20" si="13">IF(AD8=0, ,AE8/AD8)</f>
        <v>17.773684210526316</v>
      </c>
      <c r="AK8" s="13">
        <f t="shared" si="4"/>
        <v>10.643868421052632</v>
      </c>
      <c r="AL8" s="13">
        <f t="shared" si="5"/>
        <v>1.3157894736842105E-2</v>
      </c>
      <c r="AM8" s="13">
        <f t="shared" si="6"/>
        <v>1.9650000000000001</v>
      </c>
      <c r="AN8" s="13">
        <f t="shared" si="7"/>
        <v>0.52894736842105261</v>
      </c>
      <c r="AO8" s="14">
        <f t="shared" si="8"/>
        <v>0.4098242856805237</v>
      </c>
      <c r="AP8" s="14">
        <f t="shared" si="8"/>
        <v>0.3053894382429066</v>
      </c>
      <c r="AQ8" s="14">
        <f t="shared" si="8"/>
        <v>1.0116407282399185E-4</v>
      </c>
      <c r="AR8" s="14">
        <f t="shared" si="8"/>
        <v>3.4000000000000002E-2</v>
      </c>
      <c r="AS8" s="14">
        <f t="shared" si="8"/>
        <v>7.9841989589359464E-4</v>
      </c>
      <c r="AT8" s="15">
        <f t="shared" si="9"/>
        <v>0.75011330789214792</v>
      </c>
      <c r="AU8" s="16">
        <f t="shared" si="10"/>
        <v>0.88053477599283636</v>
      </c>
      <c r="AV8" s="17">
        <f t="shared" si="11"/>
        <v>250.99032434294202</v>
      </c>
      <c r="AW8" s="17">
        <f t="shared" si="12"/>
        <v>285.04305699901619</v>
      </c>
      <c r="AX8" s="87"/>
      <c r="AY8" s="10">
        <f t="shared" ref="AY8:AY20" si="14">IF((X$7/B$21)*(AX$3-AU8)*AT8*B8&lt;0,0,(X$7/B$21)*(AX$3-AU8)*AT8*B8)</f>
        <v>7291.8001324623792</v>
      </c>
      <c r="AZ8" s="37">
        <f t="shared" ref="AZ8:AZ20" si="15">ROUNDUP(IF((X$7/B$21*(AX$7-AU8)*AT8*B8)&lt;0,0,(X$7/B$21*(AX$7-AU8)*AT8*B8)),1)</f>
        <v>7291.8</v>
      </c>
      <c r="BA8" s="66">
        <v>7291.8</v>
      </c>
      <c r="BB8" s="68">
        <v>85.9</v>
      </c>
      <c r="BC8" s="67">
        <f t="shared" ref="BC8:BC21" si="16">BA8+BB8</f>
        <v>7377.7</v>
      </c>
      <c r="BD8">
        <v>7377.7</v>
      </c>
    </row>
    <row r="9" spans="1:56" ht="19.5" customHeight="1" x14ac:dyDescent="0.25">
      <c r="A9" s="43" t="s">
        <v>55</v>
      </c>
      <c r="B9" s="57">
        <v>908</v>
      </c>
      <c r="C9" s="36"/>
      <c r="D9" s="56">
        <f t="shared" si="0"/>
        <v>908</v>
      </c>
      <c r="E9" s="55">
        <v>5555.2252857142857</v>
      </c>
      <c r="F9" s="55">
        <v>6415.8962857142851</v>
      </c>
      <c r="G9" s="55">
        <v>3233.6331428571425</v>
      </c>
      <c r="H9" s="82"/>
      <c r="I9" s="10">
        <f t="shared" ref="I9:I20" si="17">H$7*((0.3*E9/E$21)+(0.35*F9/F$21)+(0.35*G9/G$21))</f>
        <v>522.24527423798406</v>
      </c>
      <c r="J9" s="55">
        <v>7.8179999999999996</v>
      </c>
      <c r="K9" s="55">
        <v>14.88</v>
      </c>
      <c r="L9" s="55">
        <v>12.06</v>
      </c>
      <c r="M9" s="82"/>
      <c r="N9" s="10">
        <f t="shared" ref="N9:N20" si="18">M$7*((0.3*J9/J$21)+(0.35*K9/K$21)+(0.35*L9/L$21))</f>
        <v>7.3483143876627777</v>
      </c>
      <c r="O9" s="55">
        <v>97.414000000000001</v>
      </c>
      <c r="P9" s="55">
        <v>54.360999999999997</v>
      </c>
      <c r="Q9" s="85"/>
      <c r="R9" s="10">
        <f t="shared" ref="R9:R20" si="19">Q$7*((0.45*O9/O$21)+(0.55*P9/P$21))</f>
        <v>86.090032123051969</v>
      </c>
      <c r="S9" s="55">
        <v>358.71</v>
      </c>
      <c r="T9" s="55">
        <v>1607.6210000000001</v>
      </c>
      <c r="U9" s="55">
        <v>-933.41499999999996</v>
      </c>
      <c r="V9" s="82"/>
      <c r="W9" s="10">
        <f t="shared" ref="W9:W20" si="20">V$7*((0.3*S9/S$21)+(0.35*T9/T$21)+(0.35*U9/U$21))</f>
        <v>-99.9865337296837</v>
      </c>
      <c r="X9" s="82"/>
      <c r="Y9" s="44">
        <v>0.8</v>
      </c>
      <c r="Z9" s="44">
        <v>8.5943932283169999E-4</v>
      </c>
      <c r="AA9" s="49">
        <f t="shared" si="1"/>
        <v>6.8755145826536002E-4</v>
      </c>
      <c r="AB9" s="11">
        <f t="shared" ref="AB9:AB20" si="21">I9+N9+R9+W9</f>
        <v>515.69708701901504</v>
      </c>
      <c r="AC9" s="12">
        <f t="shared" ref="AC9:AC20" si="22">(AB9/B9)*(B$21/AB$21)*Y9</f>
        <v>0.2907701911962301</v>
      </c>
      <c r="AD9" s="36">
        <f t="shared" si="3"/>
        <v>908</v>
      </c>
      <c r="AE9" s="51">
        <v>7459.2</v>
      </c>
      <c r="AF9" s="60">
        <v>6422.7</v>
      </c>
      <c r="AG9" s="61">
        <v>96</v>
      </c>
      <c r="AH9" s="61">
        <v>61.3</v>
      </c>
      <c r="AI9" s="61">
        <v>251</v>
      </c>
      <c r="AJ9" s="13">
        <f t="shared" si="13"/>
        <v>8.2149779735682813</v>
      </c>
      <c r="AK9" s="13">
        <f t="shared" si="4"/>
        <v>7.0734581497797357</v>
      </c>
      <c r="AL9" s="13">
        <f t="shared" si="5"/>
        <v>0.10572687224669604</v>
      </c>
      <c r="AM9" s="13">
        <f t="shared" si="6"/>
        <v>6.7511013215859034E-2</v>
      </c>
      <c r="AN9" s="13">
        <f t="shared" si="7"/>
        <v>0.27643171806167399</v>
      </c>
      <c r="AO9" s="14">
        <f t="shared" si="8"/>
        <v>0.18942034977221878</v>
      </c>
      <c r="AP9" s="14">
        <f t="shared" si="8"/>
        <v>0.20294871425912578</v>
      </c>
      <c r="AQ9" s="14">
        <f t="shared" si="8"/>
        <v>8.1287783625974075E-4</v>
      </c>
      <c r="AR9" s="14">
        <f t="shared" si="8"/>
        <v>1.1681294907578664E-3</v>
      </c>
      <c r="AS9" s="14">
        <f t="shared" si="8"/>
        <v>4.1726000871376081E-4</v>
      </c>
      <c r="AT9" s="15">
        <f t="shared" si="9"/>
        <v>0.39476733136707587</v>
      </c>
      <c r="AU9" s="16">
        <f t="shared" si="10"/>
        <v>0.7365609261265248</v>
      </c>
      <c r="AV9" s="17">
        <f t="shared" si="11"/>
        <v>264.01933360617693</v>
      </c>
      <c r="AW9" s="17">
        <f t="shared" si="12"/>
        <v>358.44873688130491</v>
      </c>
      <c r="AX9" s="87"/>
      <c r="AY9" s="10">
        <f t="shared" si="14"/>
        <v>9250.261795329674</v>
      </c>
      <c r="AZ9" s="37">
        <f t="shared" si="15"/>
        <v>9250.3000000000011</v>
      </c>
      <c r="BA9" s="66">
        <v>9250.2999999999993</v>
      </c>
      <c r="BB9" s="68">
        <v>205.3</v>
      </c>
      <c r="BC9" s="67">
        <f t="shared" si="16"/>
        <v>9455.5999999999985</v>
      </c>
      <c r="BD9">
        <v>9455.6</v>
      </c>
    </row>
    <row r="10" spans="1:56" ht="19.5" customHeight="1" x14ac:dyDescent="0.25">
      <c r="A10" s="43" t="s">
        <v>56</v>
      </c>
      <c r="B10" s="57">
        <v>195</v>
      </c>
      <c r="C10" s="36"/>
      <c r="D10" s="56">
        <f t="shared" si="0"/>
        <v>195</v>
      </c>
      <c r="E10" s="55">
        <v>1665.1082857142858</v>
      </c>
      <c r="F10" s="55">
        <v>2273.1885714285718</v>
      </c>
      <c r="G10" s="55">
        <v>1178.7771428571425</v>
      </c>
      <c r="H10" s="82"/>
      <c r="I10" s="10">
        <f t="shared" si="17"/>
        <v>178.7470004827554</v>
      </c>
      <c r="J10" s="55">
        <v>2.46</v>
      </c>
      <c r="K10" s="55">
        <v>1.8</v>
      </c>
      <c r="L10" s="55">
        <v>13.08</v>
      </c>
      <c r="M10" s="82"/>
      <c r="N10" s="10">
        <f t="shared" si="18"/>
        <v>4.9826820289192968</v>
      </c>
      <c r="O10" s="55">
        <v>4.0830000000000002</v>
      </c>
      <c r="P10" s="55">
        <v>0.73499999999999999</v>
      </c>
      <c r="Q10" s="85"/>
      <c r="R10" s="10">
        <f t="shared" si="19"/>
        <v>2.4229118295512162</v>
      </c>
      <c r="S10" s="55">
        <v>91.078999999999994</v>
      </c>
      <c r="T10" s="55">
        <v>77.739999999999995</v>
      </c>
      <c r="U10" s="55">
        <v>24.411999999999999</v>
      </c>
      <c r="V10" s="82"/>
      <c r="W10" s="10">
        <f t="shared" si="20"/>
        <v>82.10361667096565</v>
      </c>
      <c r="X10" s="82"/>
      <c r="Y10" s="44">
        <v>0.8</v>
      </c>
      <c r="Z10" s="44">
        <v>5.1004652937899998E-5</v>
      </c>
      <c r="AA10" s="49">
        <f t="shared" si="1"/>
        <v>4.0803722350320003E-5</v>
      </c>
      <c r="AB10" s="11">
        <f t="shared" si="21"/>
        <v>268.25621101219156</v>
      </c>
      <c r="AC10" s="12">
        <f t="shared" si="22"/>
        <v>0.70429763010943169</v>
      </c>
      <c r="AD10" s="36">
        <f t="shared" si="3"/>
        <v>195</v>
      </c>
      <c r="AE10" s="51">
        <v>4008.6</v>
      </c>
      <c r="AF10" s="60">
        <v>3282.67</v>
      </c>
      <c r="AG10" s="61">
        <v>3</v>
      </c>
      <c r="AH10" s="61">
        <v>1.3</v>
      </c>
      <c r="AI10" s="61">
        <v>1</v>
      </c>
      <c r="AJ10" s="13">
        <f t="shared" si="13"/>
        <v>20.556923076923077</v>
      </c>
      <c r="AK10" s="13">
        <f t="shared" si="4"/>
        <v>16.834205128205127</v>
      </c>
      <c r="AL10" s="13">
        <f t="shared" si="5"/>
        <v>1.5384615384615385E-2</v>
      </c>
      <c r="AM10" s="13">
        <f t="shared" si="6"/>
        <v>6.6666666666666671E-3</v>
      </c>
      <c r="AN10" s="13">
        <f t="shared" si="7"/>
        <v>5.1282051282051282E-3</v>
      </c>
      <c r="AO10" s="14">
        <f t="shared" si="8"/>
        <v>0.47399999999999998</v>
      </c>
      <c r="AP10" s="14">
        <f t="shared" si="8"/>
        <v>0.48299999999999998</v>
      </c>
      <c r="AQ10" s="14">
        <f t="shared" si="8"/>
        <v>1.1828414668651356E-4</v>
      </c>
      <c r="AR10" s="14">
        <f t="shared" si="8"/>
        <v>1.1535199321458865E-4</v>
      </c>
      <c r="AS10" s="14">
        <f t="shared" si="8"/>
        <v>7.7407720484644984E-6</v>
      </c>
      <c r="AT10" s="15">
        <f t="shared" si="9"/>
        <v>0.95724137691194944</v>
      </c>
      <c r="AU10" s="16">
        <f t="shared" si="10"/>
        <v>0.73575761254855954</v>
      </c>
      <c r="AV10" s="17">
        <f t="shared" si="11"/>
        <v>137.33803787133917</v>
      </c>
      <c r="AW10" s="17">
        <f t="shared" si="12"/>
        <v>186.66206849783015</v>
      </c>
      <c r="AX10" s="87"/>
      <c r="AY10" s="10">
        <f t="shared" si="14"/>
        <v>4817.3052690130999</v>
      </c>
      <c r="AZ10" s="37">
        <f t="shared" si="15"/>
        <v>4817.3</v>
      </c>
      <c r="BA10" s="66">
        <v>4817.3</v>
      </c>
      <c r="BB10" s="68">
        <v>44.1</v>
      </c>
      <c r="BC10" s="67">
        <f t="shared" si="16"/>
        <v>4861.4000000000005</v>
      </c>
      <c r="BD10">
        <v>4861.3999999999996</v>
      </c>
    </row>
    <row r="11" spans="1:56" ht="19.5" customHeight="1" x14ac:dyDescent="0.25">
      <c r="A11" s="43" t="s">
        <v>57</v>
      </c>
      <c r="B11" s="57">
        <v>947</v>
      </c>
      <c r="C11" s="36"/>
      <c r="D11" s="56">
        <f t="shared" si="0"/>
        <v>947</v>
      </c>
      <c r="E11" s="55">
        <v>4082.1662857142846</v>
      </c>
      <c r="F11" s="55">
        <v>5838.5154285714279</v>
      </c>
      <c r="G11" s="55">
        <v>2787.8889999999992</v>
      </c>
      <c r="H11" s="82"/>
      <c r="I11" s="10">
        <f t="shared" si="17"/>
        <v>439.71310737914359</v>
      </c>
      <c r="J11" s="55">
        <v>10.429</v>
      </c>
      <c r="K11" s="55">
        <v>21.722999999999999</v>
      </c>
      <c r="L11" s="55">
        <v>42.790999999999997</v>
      </c>
      <c r="M11" s="82"/>
      <c r="N11" s="10">
        <f t="shared" si="18"/>
        <v>18.972266044938689</v>
      </c>
      <c r="O11" s="55">
        <v>102.833</v>
      </c>
      <c r="P11" s="55">
        <v>24.106999999999999</v>
      </c>
      <c r="Q11" s="85"/>
      <c r="R11" s="10">
        <f t="shared" si="19"/>
        <v>65.320214159302864</v>
      </c>
      <c r="S11" s="55">
        <v>508.33699999999999</v>
      </c>
      <c r="T11" s="55">
        <v>541.625</v>
      </c>
      <c r="U11" s="55">
        <v>62.587000000000003</v>
      </c>
      <c r="V11" s="82"/>
      <c r="W11" s="10">
        <f t="shared" si="20"/>
        <v>432.75087514410171</v>
      </c>
      <c r="X11" s="82"/>
      <c r="Y11" s="44">
        <v>0.8</v>
      </c>
      <c r="Z11" s="44">
        <v>4.582249225195E-4</v>
      </c>
      <c r="AA11" s="49">
        <f t="shared" si="1"/>
        <v>3.665799380156E-4</v>
      </c>
      <c r="AB11" s="11">
        <f t="shared" si="21"/>
        <v>956.75646272748691</v>
      </c>
      <c r="AC11" s="12">
        <f t="shared" si="22"/>
        <v>0.51724044632864874</v>
      </c>
      <c r="AD11" s="36">
        <f t="shared" si="3"/>
        <v>947</v>
      </c>
      <c r="AE11" s="51">
        <v>6432.1</v>
      </c>
      <c r="AF11" s="60">
        <v>8303</v>
      </c>
      <c r="AG11" s="61">
        <v>54</v>
      </c>
      <c r="AH11" s="61">
        <v>253.3</v>
      </c>
      <c r="AI11" s="61">
        <v>198</v>
      </c>
      <c r="AJ11" s="13">
        <f t="shared" si="13"/>
        <v>6.7920802534318909</v>
      </c>
      <c r="AK11" s="13">
        <f t="shared" si="4"/>
        <v>8.7676874340021111</v>
      </c>
      <c r="AL11" s="13">
        <f t="shared" si="5"/>
        <v>5.7022175290390706E-2</v>
      </c>
      <c r="AM11" s="13">
        <f t="shared" si="6"/>
        <v>0.26747624076029569</v>
      </c>
      <c r="AN11" s="13">
        <f t="shared" si="7"/>
        <v>0.20908130939809927</v>
      </c>
      <c r="AO11" s="14">
        <f t="shared" si="8"/>
        <v>0.15661128020373938</v>
      </c>
      <c r="AP11" s="14">
        <f t="shared" si="8"/>
        <v>0.25155883502499149</v>
      </c>
      <c r="AQ11" s="14">
        <f t="shared" si="8"/>
        <v>4.3841325751812306E-4</v>
      </c>
      <c r="AR11" s="14">
        <f t="shared" si="8"/>
        <v>4.6280876263867952E-3</v>
      </c>
      <c r="AS11" s="14">
        <f t="shared" si="8"/>
        <v>3.1559789735080703E-4</v>
      </c>
      <c r="AT11" s="15">
        <f t="shared" si="9"/>
        <v>0.4135522140099866</v>
      </c>
      <c r="AU11" s="16">
        <f t="shared" si="10"/>
        <v>1.2507258546949969</v>
      </c>
      <c r="AV11" s="17">
        <f t="shared" si="11"/>
        <v>489.82670267323033</v>
      </c>
      <c r="AW11" s="17">
        <f t="shared" si="12"/>
        <v>391.63394666745728</v>
      </c>
      <c r="AX11" s="87"/>
      <c r="AY11" s="10">
        <f t="shared" si="14"/>
        <v>9791.9988143230676</v>
      </c>
      <c r="AZ11" s="37">
        <f t="shared" si="15"/>
        <v>9792</v>
      </c>
      <c r="BA11" s="66">
        <v>9792</v>
      </c>
      <c r="BB11" s="68">
        <v>214.2</v>
      </c>
      <c r="BC11" s="67">
        <f t="shared" si="16"/>
        <v>10006.200000000001</v>
      </c>
      <c r="BD11">
        <v>10006.200000000001</v>
      </c>
    </row>
    <row r="12" spans="1:56" ht="19.5" customHeight="1" x14ac:dyDescent="0.25">
      <c r="A12" s="43" t="s">
        <v>58</v>
      </c>
      <c r="B12" s="57">
        <v>841</v>
      </c>
      <c r="C12" s="36"/>
      <c r="D12" s="56">
        <f t="shared" si="0"/>
        <v>841</v>
      </c>
      <c r="E12" s="55">
        <v>5668.1701428571423</v>
      </c>
      <c r="F12" s="55">
        <v>6607.8107142857134</v>
      </c>
      <c r="G12" s="55">
        <v>3233.6981428571426</v>
      </c>
      <c r="H12" s="82"/>
      <c r="I12" s="10">
        <f t="shared" si="17"/>
        <v>530.73504844482738</v>
      </c>
      <c r="J12" s="55">
        <v>14.94</v>
      </c>
      <c r="K12" s="55">
        <v>6.12</v>
      </c>
      <c r="L12" s="55">
        <v>6.54</v>
      </c>
      <c r="M12" s="82"/>
      <c r="N12" s="10">
        <f t="shared" si="18"/>
        <v>5.2724599292688978</v>
      </c>
      <c r="O12" s="55">
        <v>57.19</v>
      </c>
      <c r="P12" s="55">
        <v>63.164999999999999</v>
      </c>
      <c r="Q12" s="85"/>
      <c r="R12" s="10">
        <f t="shared" si="19"/>
        <v>74.543670367689316</v>
      </c>
      <c r="S12" s="55">
        <v>307.38799999999998</v>
      </c>
      <c r="T12" s="55">
        <v>366.20299999999997</v>
      </c>
      <c r="U12" s="55">
        <v>153.71199999999999</v>
      </c>
      <c r="V12" s="82"/>
      <c r="W12" s="10">
        <f t="shared" si="20"/>
        <v>370.08059126539291</v>
      </c>
      <c r="X12" s="82"/>
      <c r="Y12" s="44">
        <v>0.8</v>
      </c>
      <c r="Z12" s="44">
        <v>6.8935810005060002E-4</v>
      </c>
      <c r="AA12" s="49">
        <f t="shared" si="1"/>
        <v>5.5148648004048003E-4</v>
      </c>
      <c r="AB12" s="11">
        <f t="shared" si="21"/>
        <v>980.63177000717837</v>
      </c>
      <c r="AC12" s="12">
        <f t="shared" si="22"/>
        <v>0.59696795045230056</v>
      </c>
      <c r="AD12" s="36">
        <f t="shared" si="3"/>
        <v>841</v>
      </c>
      <c r="AE12" s="51">
        <v>8023.3</v>
      </c>
      <c r="AF12" s="60">
        <v>4892.34</v>
      </c>
      <c r="AG12" s="61">
        <v>486</v>
      </c>
      <c r="AH12" s="61">
        <v>234.7</v>
      </c>
      <c r="AI12" s="61">
        <v>166</v>
      </c>
      <c r="AJ12" s="13">
        <f t="shared" si="13"/>
        <v>9.5401902497027358</v>
      </c>
      <c r="AK12" s="13">
        <f t="shared" si="4"/>
        <v>5.8172889417360283</v>
      </c>
      <c r="AL12" s="13">
        <f t="shared" si="5"/>
        <v>0.57788347205707491</v>
      </c>
      <c r="AM12" s="13">
        <f t="shared" si="6"/>
        <v>0.27907253269916765</v>
      </c>
      <c r="AN12" s="13">
        <f t="shared" si="7"/>
        <v>0.19738406658739596</v>
      </c>
      <c r="AO12" s="14">
        <f t="shared" si="8"/>
        <v>0.21997699565434908</v>
      </c>
      <c r="AP12" s="14">
        <f t="shared" si="8"/>
        <v>0.16690723069251795</v>
      </c>
      <c r="AQ12" s="14">
        <f t="shared" si="8"/>
        <v>4.4430394694732027E-3</v>
      </c>
      <c r="AR12" s="14">
        <f t="shared" si="8"/>
        <v>4.8287359347438672E-3</v>
      </c>
      <c r="AS12" s="14">
        <f t="shared" si="8"/>
        <v>2.9794148776313411E-4</v>
      </c>
      <c r="AT12" s="15">
        <f t="shared" si="9"/>
        <v>0.39645394323884725</v>
      </c>
      <c r="AU12" s="16">
        <f t="shared" si="10"/>
        <v>1.5057687295915023</v>
      </c>
      <c r="AV12" s="17">
        <f t="shared" si="11"/>
        <v>502.05004633038476</v>
      </c>
      <c r="AW12" s="17">
        <f t="shared" si="12"/>
        <v>333.41776626387053</v>
      </c>
      <c r="AX12" s="87"/>
      <c r="AY12" s="10">
        <f t="shared" si="14"/>
        <v>8203.5460131720101</v>
      </c>
      <c r="AZ12" s="37">
        <f t="shared" si="15"/>
        <v>8203.5</v>
      </c>
      <c r="BA12" s="66">
        <v>8203.5</v>
      </c>
      <c r="BB12" s="68">
        <v>190.2</v>
      </c>
      <c r="BC12" s="67">
        <f t="shared" si="16"/>
        <v>8393.7000000000007</v>
      </c>
      <c r="BD12">
        <v>8393.7000000000007</v>
      </c>
    </row>
    <row r="13" spans="1:56" ht="19.5" customHeight="1" x14ac:dyDescent="0.25">
      <c r="A13" s="43" t="s">
        <v>59</v>
      </c>
      <c r="B13" s="57">
        <v>224</v>
      </c>
      <c r="C13" s="36"/>
      <c r="D13" s="56">
        <f t="shared" si="0"/>
        <v>224</v>
      </c>
      <c r="E13" s="55">
        <v>1553.8171428571427</v>
      </c>
      <c r="F13" s="55">
        <v>2248.6064285714288</v>
      </c>
      <c r="G13" s="55">
        <v>2153.4549999999999</v>
      </c>
      <c r="H13" s="82"/>
      <c r="I13" s="10">
        <f>H$7*((0.3*E13/E$21)+(0.35*F13/F$21)+(0.35*G13/G$21))</f>
        <v>232.36665929344116</v>
      </c>
      <c r="J13" s="55">
        <v>3.9079999999999999</v>
      </c>
      <c r="K13" s="55">
        <v>2.8809999999999998</v>
      </c>
      <c r="L13" s="55">
        <v>0</v>
      </c>
      <c r="M13" s="82"/>
      <c r="N13" s="10">
        <f t="shared" si="18"/>
        <v>0.99697945035849156</v>
      </c>
      <c r="O13" s="55">
        <v>3.2410000000000001</v>
      </c>
      <c r="P13" s="55">
        <v>8.4000000000000005E-2</v>
      </c>
      <c r="Q13" s="85"/>
      <c r="R13" s="10">
        <f t="shared" si="19"/>
        <v>1.539675909545142</v>
      </c>
      <c r="S13" s="55">
        <v>29.95</v>
      </c>
      <c r="T13" s="55">
        <v>32.515000000000001</v>
      </c>
      <c r="U13" s="55">
        <v>19.870999999999999</v>
      </c>
      <c r="V13" s="82"/>
      <c r="W13" s="10">
        <f t="shared" si="20"/>
        <v>39.06222739235303</v>
      </c>
      <c r="X13" s="82"/>
      <c r="Y13" s="44">
        <v>0.8</v>
      </c>
      <c r="Z13" s="44">
        <v>1.2200036302480001E-5</v>
      </c>
      <c r="AA13" s="49">
        <f t="shared" si="1"/>
        <v>9.7600290419840019E-6</v>
      </c>
      <c r="AB13" s="11">
        <f t="shared" si="21"/>
        <v>273.96554204569782</v>
      </c>
      <c r="AC13" s="12">
        <f t="shared" si="22"/>
        <v>0.62616527136872446</v>
      </c>
      <c r="AD13" s="36">
        <f t="shared" si="3"/>
        <v>224</v>
      </c>
      <c r="AE13" s="51">
        <v>4143.7</v>
      </c>
      <c r="AF13" s="60">
        <v>2933.33</v>
      </c>
      <c r="AG13" s="61">
        <v>1</v>
      </c>
      <c r="AH13" s="61">
        <v>0</v>
      </c>
      <c r="AI13" s="61">
        <v>101</v>
      </c>
      <c r="AJ13" s="13">
        <f t="shared" si="13"/>
        <v>18.498660714285712</v>
      </c>
      <c r="AK13" s="13">
        <f t="shared" si="4"/>
        <v>13.095223214285713</v>
      </c>
      <c r="AL13" s="13">
        <f t="shared" si="5"/>
        <v>4.464285714285714E-3</v>
      </c>
      <c r="AM13" s="13">
        <f t="shared" si="6"/>
        <v>0</v>
      </c>
      <c r="AN13" s="13">
        <f t="shared" si="7"/>
        <v>0.45089285714285715</v>
      </c>
      <c r="AO13" s="14">
        <f t="shared" si="8"/>
        <v>0.42654073986464808</v>
      </c>
      <c r="AP13" s="14">
        <f t="shared" si="8"/>
        <v>0.37572268867644326</v>
      </c>
      <c r="AQ13" s="14">
        <f t="shared" si="8"/>
        <v>3.4323524708140093E-5</v>
      </c>
      <c r="AR13" s="14">
        <f t="shared" si="8"/>
        <v>0</v>
      </c>
      <c r="AS13" s="14">
        <f t="shared" si="8"/>
        <v>6.8060047095762626E-4</v>
      </c>
      <c r="AT13" s="15">
        <f t="shared" si="9"/>
        <v>0.80297835253675709</v>
      </c>
      <c r="AU13" s="16">
        <f t="shared" si="10"/>
        <v>0.77980342731600749</v>
      </c>
      <c r="AV13" s="17">
        <f t="shared" si="11"/>
        <v>140.26102078659429</v>
      </c>
      <c r="AW13" s="17">
        <f t="shared" si="12"/>
        <v>179.8671509682336</v>
      </c>
      <c r="AX13" s="87"/>
      <c r="AY13" s="10">
        <f t="shared" si="14"/>
        <v>4629.5649969979077</v>
      </c>
      <c r="AZ13" s="37">
        <f t="shared" si="15"/>
        <v>4629.6000000000004</v>
      </c>
      <c r="BA13" s="66">
        <v>4629.6000000000004</v>
      </c>
      <c r="BB13" s="68">
        <v>50.7</v>
      </c>
      <c r="BC13" s="67">
        <f t="shared" si="16"/>
        <v>4680.3</v>
      </c>
      <c r="BD13">
        <v>4680.3</v>
      </c>
    </row>
    <row r="14" spans="1:56" ht="19.5" customHeight="1" x14ac:dyDescent="0.25">
      <c r="A14" s="43" t="s">
        <v>60</v>
      </c>
      <c r="B14" s="57">
        <v>271</v>
      </c>
      <c r="C14" s="36"/>
      <c r="D14" s="56">
        <f t="shared" si="0"/>
        <v>271</v>
      </c>
      <c r="E14" s="55">
        <v>2094.7779999999998</v>
      </c>
      <c r="F14" s="55">
        <v>2421.6204285714289</v>
      </c>
      <c r="G14" s="55">
        <v>1375.6561428571426</v>
      </c>
      <c r="H14" s="82"/>
      <c r="I14" s="10">
        <f t="shared" si="17"/>
        <v>206.18951445375663</v>
      </c>
      <c r="J14" s="59">
        <v>0</v>
      </c>
      <c r="K14" s="59">
        <v>0</v>
      </c>
      <c r="L14" s="59">
        <v>0</v>
      </c>
      <c r="M14" s="82"/>
      <c r="N14" s="10">
        <f t="shared" si="18"/>
        <v>0</v>
      </c>
      <c r="O14" s="55">
        <v>17.920000000000002</v>
      </c>
      <c r="P14" s="55">
        <v>5.0170000000000003</v>
      </c>
      <c r="Q14" s="85"/>
      <c r="R14" s="10">
        <f t="shared" si="19"/>
        <v>12.009655850975548</v>
      </c>
      <c r="S14" s="55">
        <v>196.285</v>
      </c>
      <c r="T14" s="55">
        <v>205.572</v>
      </c>
      <c r="U14" s="55">
        <v>141.376</v>
      </c>
      <c r="V14" s="82"/>
      <c r="W14" s="10">
        <f t="shared" si="20"/>
        <v>262.74232969768025</v>
      </c>
      <c r="X14" s="82"/>
      <c r="Y14" s="44">
        <v>0.8</v>
      </c>
      <c r="Z14" s="44">
        <v>1.2209156737209999E-4</v>
      </c>
      <c r="AA14" s="49">
        <f t="shared" si="1"/>
        <v>9.7673253897680005E-5</v>
      </c>
      <c r="AB14" s="11">
        <f t="shared" si="21"/>
        <v>480.94150000241245</v>
      </c>
      <c r="AC14" s="12">
        <f t="shared" si="22"/>
        <v>0.90858176207920338</v>
      </c>
      <c r="AD14" s="36">
        <f t="shared" si="3"/>
        <v>271</v>
      </c>
      <c r="AE14" s="51">
        <v>4290.3999999999996</v>
      </c>
      <c r="AF14" s="60">
        <v>3846</v>
      </c>
      <c r="AG14" s="61">
        <v>60</v>
      </c>
      <c r="AH14" s="61">
        <v>244</v>
      </c>
      <c r="AI14" s="61">
        <v>174</v>
      </c>
      <c r="AJ14" s="13">
        <f t="shared" si="13"/>
        <v>15.831734317343171</v>
      </c>
      <c r="AK14" s="13">
        <f t="shared" si="4"/>
        <v>14.191881918819188</v>
      </c>
      <c r="AL14" s="13">
        <f t="shared" si="5"/>
        <v>0.22140221402214022</v>
      </c>
      <c r="AM14" s="13">
        <f t="shared" si="6"/>
        <v>0.90036900369003692</v>
      </c>
      <c r="AN14" s="13">
        <f t="shared" si="7"/>
        <v>0.64206642066420661</v>
      </c>
      <c r="AO14" s="14">
        <f t="shared" si="8"/>
        <v>0.36504694979594599</v>
      </c>
      <c r="AP14" s="14">
        <f t="shared" si="8"/>
        <v>0.40718756333228295</v>
      </c>
      <c r="AQ14" s="14">
        <f t="shared" si="8"/>
        <v>1.7022441774073908E-3</v>
      </c>
      <c r="AR14" s="14">
        <f t="shared" si="8"/>
        <v>1.5578903880641861E-2</v>
      </c>
      <c r="AS14" s="14">
        <f t="shared" si="8"/>
        <v>9.6916751145535197E-4</v>
      </c>
      <c r="AT14" s="15">
        <f t="shared" si="9"/>
        <v>0.79048482869773351</v>
      </c>
      <c r="AU14" s="16">
        <f t="shared" si="10"/>
        <v>1.1493981023975197</v>
      </c>
      <c r="AV14" s="17">
        <f t="shared" si="11"/>
        <v>246.22565752346412</v>
      </c>
      <c r="AW14" s="17">
        <f t="shared" si="12"/>
        <v>214.22138857708578</v>
      </c>
      <c r="AX14" s="87"/>
      <c r="AY14" s="10">
        <f t="shared" si="14"/>
        <v>5390.0826143466957</v>
      </c>
      <c r="AZ14" s="37">
        <f t="shared" si="15"/>
        <v>5390.1</v>
      </c>
      <c r="BA14" s="66">
        <v>5390.1</v>
      </c>
      <c r="BB14" s="68">
        <v>61.3</v>
      </c>
      <c r="BC14" s="67">
        <f t="shared" si="16"/>
        <v>5451.4000000000005</v>
      </c>
      <c r="BD14">
        <v>5451.4</v>
      </c>
    </row>
    <row r="15" spans="1:56" ht="19.5" customHeight="1" x14ac:dyDescent="0.25">
      <c r="A15" s="43" t="s">
        <v>61</v>
      </c>
      <c r="B15" s="57">
        <v>398</v>
      </c>
      <c r="C15" s="36"/>
      <c r="D15" s="56">
        <f t="shared" si="0"/>
        <v>398</v>
      </c>
      <c r="E15" s="55">
        <v>984.65114285714299</v>
      </c>
      <c r="F15" s="55">
        <v>993.11871428571419</v>
      </c>
      <c r="G15" s="55">
        <v>622.9041428571428</v>
      </c>
      <c r="H15" s="82"/>
      <c r="I15" s="10">
        <f t="shared" si="17"/>
        <v>91.425506928963301</v>
      </c>
      <c r="J15" s="55">
        <v>378.02100000000002</v>
      </c>
      <c r="K15" s="55">
        <v>349.08</v>
      </c>
      <c r="L15" s="55">
        <v>365.34</v>
      </c>
      <c r="M15" s="82"/>
      <c r="N15" s="10">
        <f t="shared" si="18"/>
        <v>228.4576530387246</v>
      </c>
      <c r="O15" s="55">
        <v>7.9059999999999997</v>
      </c>
      <c r="P15" s="55">
        <v>10.393000000000001</v>
      </c>
      <c r="Q15" s="85"/>
      <c r="R15" s="10">
        <f t="shared" si="19"/>
        <v>11.580711687964232</v>
      </c>
      <c r="S15" s="55">
        <v>85.968000000000004</v>
      </c>
      <c r="T15" s="55">
        <v>117.774</v>
      </c>
      <c r="U15" s="55">
        <v>-3.5720000000000001</v>
      </c>
      <c r="V15" s="82"/>
      <c r="W15" s="10">
        <f t="shared" si="20"/>
        <v>70.081672265741844</v>
      </c>
      <c r="X15" s="82"/>
      <c r="Y15" s="44">
        <v>0.8</v>
      </c>
      <c r="Z15" s="44">
        <v>3.348119097711E-4</v>
      </c>
      <c r="AA15" s="49">
        <f t="shared" si="1"/>
        <v>2.6784952781688001E-4</v>
      </c>
      <c r="AB15" s="11">
        <f t="shared" si="21"/>
        <v>401.54554392139403</v>
      </c>
      <c r="AC15" s="12">
        <f t="shared" si="22"/>
        <v>0.51652671814762463</v>
      </c>
      <c r="AD15" s="36">
        <f t="shared" si="3"/>
        <v>398</v>
      </c>
      <c r="AE15" s="51">
        <v>4550.8999999999996</v>
      </c>
      <c r="AF15" s="60">
        <v>3735</v>
      </c>
      <c r="AG15" s="61">
        <v>0</v>
      </c>
      <c r="AH15" s="61">
        <v>4</v>
      </c>
      <c r="AI15" s="61">
        <v>4</v>
      </c>
      <c r="AJ15" s="13">
        <f t="shared" si="13"/>
        <v>11.434422110552763</v>
      </c>
      <c r="AK15" s="13">
        <f t="shared" si="4"/>
        <v>9.3844221105527641</v>
      </c>
      <c r="AL15" s="13">
        <f t="shared" si="5"/>
        <v>0</v>
      </c>
      <c r="AM15" s="13">
        <f t="shared" si="6"/>
        <v>1.0050251256281407E-2</v>
      </c>
      <c r="AN15" s="13">
        <f t="shared" si="7"/>
        <v>1.0050251256281407E-2</v>
      </c>
      <c r="AO15" s="14">
        <f t="shared" si="8"/>
        <v>0.26365405270627945</v>
      </c>
      <c r="AP15" s="14">
        <f t="shared" si="8"/>
        <v>0.26925392941794696</v>
      </c>
      <c r="AQ15" s="14">
        <f t="shared" si="8"/>
        <v>0</v>
      </c>
      <c r="AR15" s="14">
        <f t="shared" si="8"/>
        <v>1.7389747720792257E-4</v>
      </c>
      <c r="AS15" s="14">
        <f t="shared" si="8"/>
        <v>1.5170357280910322E-5</v>
      </c>
      <c r="AT15" s="15">
        <f t="shared" si="9"/>
        <v>0.53309704995871532</v>
      </c>
      <c r="AU15" s="16">
        <f t="shared" si="10"/>
        <v>0.96891685704812291</v>
      </c>
      <c r="AV15" s="17">
        <f t="shared" si="11"/>
        <v>205.57763382275459</v>
      </c>
      <c r="AW15" s="17">
        <f t="shared" si="12"/>
        <v>212.17262588356868</v>
      </c>
      <c r="AX15" s="87"/>
      <c r="AY15" s="10">
        <f t="shared" si="14"/>
        <v>5398.370215325448</v>
      </c>
      <c r="AZ15" s="37">
        <f t="shared" si="15"/>
        <v>5398.4000000000005</v>
      </c>
      <c r="BA15" s="66">
        <v>5398.4</v>
      </c>
      <c r="BB15" s="68">
        <v>90</v>
      </c>
      <c r="BC15" s="67">
        <f t="shared" si="16"/>
        <v>5488.4</v>
      </c>
      <c r="BD15">
        <v>5488.4</v>
      </c>
    </row>
    <row r="16" spans="1:56" ht="19.5" customHeight="1" x14ac:dyDescent="0.25">
      <c r="A16" s="43" t="s">
        <v>62</v>
      </c>
      <c r="B16" s="57">
        <v>546</v>
      </c>
      <c r="C16" s="36"/>
      <c r="D16" s="56">
        <f t="shared" si="0"/>
        <v>546</v>
      </c>
      <c r="E16" s="55">
        <v>1167.627857142857</v>
      </c>
      <c r="F16" s="55">
        <v>1311.0729999999999</v>
      </c>
      <c r="G16" s="55">
        <v>640.08628571428574</v>
      </c>
      <c r="H16" s="82"/>
      <c r="I16" s="10">
        <f t="shared" si="17"/>
        <v>106.38279109292536</v>
      </c>
      <c r="J16" s="55">
        <v>2.58</v>
      </c>
      <c r="K16" s="55">
        <v>3.855</v>
      </c>
      <c r="L16" s="55">
        <v>1.98</v>
      </c>
      <c r="M16" s="82"/>
      <c r="N16" s="10">
        <f t="shared" si="18"/>
        <v>1.6040706246637471</v>
      </c>
      <c r="O16" s="55">
        <v>54.631</v>
      </c>
      <c r="P16" s="55">
        <v>50.14</v>
      </c>
      <c r="Q16" s="85"/>
      <c r="R16" s="10">
        <f t="shared" si="19"/>
        <v>63.375194076862648</v>
      </c>
      <c r="S16" s="55">
        <v>230.732</v>
      </c>
      <c r="T16" s="55">
        <v>256.94799999999998</v>
      </c>
      <c r="U16" s="55">
        <v>23.213000000000001</v>
      </c>
      <c r="V16" s="82"/>
      <c r="W16" s="10">
        <f t="shared" si="20"/>
        <v>195.77737349766457</v>
      </c>
      <c r="X16" s="82"/>
      <c r="Y16" s="44">
        <v>0.8</v>
      </c>
      <c r="Z16" s="44">
        <v>6.3828148543000003E-5</v>
      </c>
      <c r="AA16" s="49">
        <f t="shared" si="1"/>
        <v>5.1062518834400003E-5</v>
      </c>
      <c r="AB16" s="11">
        <f t="shared" si="21"/>
        <v>367.13942929211635</v>
      </c>
      <c r="AC16" s="12">
        <f t="shared" si="22"/>
        <v>0.34425435108487074</v>
      </c>
      <c r="AD16" s="36">
        <f t="shared" si="3"/>
        <v>546</v>
      </c>
      <c r="AE16" s="51">
        <v>4385.8</v>
      </c>
      <c r="AF16" s="60">
        <v>3845.33</v>
      </c>
      <c r="AG16" s="61">
        <v>40</v>
      </c>
      <c r="AH16" s="61">
        <v>232</v>
      </c>
      <c r="AI16" s="61">
        <v>20</v>
      </c>
      <c r="AJ16" s="13">
        <f t="shared" si="13"/>
        <v>8.0326007326007325</v>
      </c>
      <c r="AK16" s="13">
        <f t="shared" si="4"/>
        <v>7.0427289377289375</v>
      </c>
      <c r="AL16" s="13">
        <f t="shared" si="5"/>
        <v>7.3260073260073263E-2</v>
      </c>
      <c r="AM16" s="13">
        <f t="shared" si="6"/>
        <v>0.4249084249084249</v>
      </c>
      <c r="AN16" s="13">
        <f t="shared" si="7"/>
        <v>3.6630036630036632E-2</v>
      </c>
      <c r="AO16" s="14">
        <f t="shared" si="8"/>
        <v>0.18521510894434109</v>
      </c>
      <c r="AP16" s="14">
        <f t="shared" si="8"/>
        <v>0.20206704450949989</v>
      </c>
      <c r="AQ16" s="14">
        <f t="shared" si="8"/>
        <v>5.6325784136435032E-4</v>
      </c>
      <c r="AR16" s="14">
        <f t="shared" si="8"/>
        <v>7.352105062028727E-3</v>
      </c>
      <c r="AS16" s="14">
        <f t="shared" si="8"/>
        <v>5.5291228917603558E-5</v>
      </c>
      <c r="AT16" s="15">
        <f t="shared" si="9"/>
        <v>0.39525280758615167</v>
      </c>
      <c r="AU16" s="16">
        <f t="shared" si="10"/>
        <v>0.87097256357840036</v>
      </c>
      <c r="AV16" s="17">
        <f t="shared" si="11"/>
        <v>187.96287569233942</v>
      </c>
      <c r="AW16" s="17">
        <f t="shared" si="12"/>
        <v>215.80803294203881</v>
      </c>
      <c r="AX16" s="87"/>
      <c r="AY16" s="10">
        <f t="shared" si="14"/>
        <v>5523.8959603537214</v>
      </c>
      <c r="AZ16" s="37">
        <f t="shared" si="15"/>
        <v>5523.9000000000005</v>
      </c>
      <c r="BA16" s="66">
        <v>5523.9</v>
      </c>
      <c r="BB16" s="68">
        <v>123.5</v>
      </c>
      <c r="BC16" s="67">
        <f t="shared" si="16"/>
        <v>5647.4</v>
      </c>
      <c r="BD16">
        <v>5647.4</v>
      </c>
    </row>
    <row r="17" spans="1:56" ht="19.5" customHeight="1" x14ac:dyDescent="0.25">
      <c r="A17" s="43" t="s">
        <v>63</v>
      </c>
      <c r="B17" s="57">
        <v>1510</v>
      </c>
      <c r="C17" s="36"/>
      <c r="D17" s="56">
        <f t="shared" si="0"/>
        <v>1510</v>
      </c>
      <c r="E17" s="55">
        <v>5671.7727142857138</v>
      </c>
      <c r="F17" s="55">
        <v>6846.2005714285706</v>
      </c>
      <c r="G17" s="55">
        <v>3447.6918571428569</v>
      </c>
      <c r="H17" s="82"/>
      <c r="I17" s="10">
        <f t="shared" si="17"/>
        <v>550.15168095479635</v>
      </c>
      <c r="J17" s="55">
        <v>185.465</v>
      </c>
      <c r="K17" s="55">
        <v>316.81099999999998</v>
      </c>
      <c r="L17" s="55">
        <v>24.033999999999999</v>
      </c>
      <c r="M17" s="82"/>
      <c r="N17" s="10">
        <f t="shared" si="18"/>
        <v>81.72182664553678</v>
      </c>
      <c r="O17" s="55">
        <v>114.51300000000001</v>
      </c>
      <c r="P17" s="55">
        <v>33.843000000000004</v>
      </c>
      <c r="Q17" s="85"/>
      <c r="R17" s="10">
        <f t="shared" si="19"/>
        <v>78.114081609252835</v>
      </c>
      <c r="S17" s="55">
        <v>713.83</v>
      </c>
      <c r="T17" s="55">
        <v>1009.639</v>
      </c>
      <c r="U17" s="55">
        <v>62.505000000000003</v>
      </c>
      <c r="V17" s="82"/>
      <c r="W17" s="10">
        <f t="shared" si="20"/>
        <v>668.45171248549184</v>
      </c>
      <c r="X17" s="82"/>
      <c r="Y17" s="44">
        <v>0.8</v>
      </c>
      <c r="Z17" s="44">
        <v>5.0407902681422001E-3</v>
      </c>
      <c r="AA17" s="49">
        <f t="shared" si="1"/>
        <v>4.0326322145137605E-3</v>
      </c>
      <c r="AB17" s="11">
        <f t="shared" si="21"/>
        <v>1378.4393016950778</v>
      </c>
      <c r="AC17" s="12">
        <f t="shared" si="22"/>
        <v>0.46736022866290106</v>
      </c>
      <c r="AD17" s="36">
        <f t="shared" si="3"/>
        <v>1510</v>
      </c>
      <c r="AE17" s="51">
        <v>9592</v>
      </c>
      <c r="AF17" s="60">
        <v>13249</v>
      </c>
      <c r="AG17" s="61">
        <v>97</v>
      </c>
      <c r="AH17" s="61">
        <v>889.3</v>
      </c>
      <c r="AI17" s="61">
        <v>175</v>
      </c>
      <c r="AJ17" s="13">
        <f t="shared" si="13"/>
        <v>6.3523178807947023</v>
      </c>
      <c r="AK17" s="13">
        <f t="shared" si="4"/>
        <v>8.774172185430464</v>
      </c>
      <c r="AL17" s="13">
        <f t="shared" si="5"/>
        <v>6.4238410596026488E-2</v>
      </c>
      <c r="AM17" s="13">
        <f t="shared" si="6"/>
        <v>0.58894039735099335</v>
      </c>
      <c r="AN17" s="13">
        <f t="shared" si="7"/>
        <v>0.11589403973509933</v>
      </c>
      <c r="AO17" s="14">
        <f t="shared" si="8"/>
        <v>0.14647127219524381</v>
      </c>
      <c r="AP17" s="14">
        <f t="shared" si="8"/>
        <v>0.25174489281126894</v>
      </c>
      <c r="AQ17" s="14">
        <f t="shared" si="8"/>
        <v>4.938950628201775E-4</v>
      </c>
      <c r="AR17" s="14">
        <f t="shared" si="8"/>
        <v>1.0190317307854338E-2</v>
      </c>
      <c r="AS17" s="14">
        <f t="shared" si="8"/>
        <v>1.7493632195619268E-4</v>
      </c>
      <c r="AT17" s="15">
        <f t="shared" si="9"/>
        <v>0.40907531369914346</v>
      </c>
      <c r="AU17" s="16">
        <f t="shared" si="10"/>
        <v>1.142479668197782</v>
      </c>
      <c r="AV17" s="17">
        <f t="shared" si="11"/>
        <v>705.71394528098051</v>
      </c>
      <c r="AW17" s="17">
        <f t="shared" si="12"/>
        <v>617.70372368570668</v>
      </c>
      <c r="AX17" s="87"/>
      <c r="AY17" s="10">
        <f t="shared" si="14"/>
        <v>15548.889227629337</v>
      </c>
      <c r="AZ17" s="37">
        <f t="shared" si="15"/>
        <v>15548.9</v>
      </c>
      <c r="BA17" s="66">
        <v>15548.9</v>
      </c>
      <c r="BB17" s="68">
        <v>341.5</v>
      </c>
      <c r="BC17" s="67">
        <f t="shared" si="16"/>
        <v>15890.4</v>
      </c>
      <c r="BD17">
        <v>15890.4</v>
      </c>
    </row>
    <row r="18" spans="1:56" ht="19.5" customHeight="1" x14ac:dyDescent="0.25">
      <c r="A18" s="43" t="s">
        <v>64</v>
      </c>
      <c r="B18" s="57">
        <v>1216</v>
      </c>
      <c r="C18" s="36"/>
      <c r="D18" s="56">
        <f t="shared" si="0"/>
        <v>1216</v>
      </c>
      <c r="E18" s="55">
        <v>12567.409857142857</v>
      </c>
      <c r="F18" s="55">
        <v>14291.478714285713</v>
      </c>
      <c r="G18" s="55">
        <v>7357.033428571428</v>
      </c>
      <c r="H18" s="82"/>
      <c r="I18" s="10">
        <f t="shared" si="17"/>
        <v>1177.6153639270487</v>
      </c>
      <c r="J18" s="55">
        <v>4.3920000000000003</v>
      </c>
      <c r="K18" s="55">
        <v>2.6920000000000002</v>
      </c>
      <c r="L18" s="55">
        <v>2.1230000000000002</v>
      </c>
      <c r="M18" s="82"/>
      <c r="N18" s="10">
        <f t="shared" si="18"/>
        <v>1.7476297501683615</v>
      </c>
      <c r="O18" s="55">
        <v>252.93100000000001</v>
      </c>
      <c r="P18" s="55">
        <v>108.57899999999999</v>
      </c>
      <c r="Q18" s="85"/>
      <c r="R18" s="10">
        <f t="shared" si="19"/>
        <v>198.51616134588932</v>
      </c>
      <c r="S18" s="55">
        <v>565.47730000000001</v>
      </c>
      <c r="T18" s="55">
        <v>514.13928999999996</v>
      </c>
      <c r="U18" s="55">
        <v>163.56399999999999</v>
      </c>
      <c r="V18" s="82"/>
      <c r="W18" s="10">
        <f t="shared" si="20"/>
        <v>529.99268627000208</v>
      </c>
      <c r="X18" s="82"/>
      <c r="Y18" s="44">
        <v>0.8</v>
      </c>
      <c r="Z18" s="44">
        <v>2.1307376844347001E-3</v>
      </c>
      <c r="AA18" s="49">
        <f t="shared" si="1"/>
        <v>1.7045901475477602E-3</v>
      </c>
      <c r="AB18" s="11">
        <f t="shared" si="21"/>
        <v>1907.8718412931084</v>
      </c>
      <c r="AC18" s="12">
        <f t="shared" si="22"/>
        <v>0.80326098890101472</v>
      </c>
      <c r="AD18" s="36">
        <f t="shared" si="3"/>
        <v>1216</v>
      </c>
      <c r="AE18" s="51">
        <v>7093.9</v>
      </c>
      <c r="AF18" s="60">
        <v>5815.67</v>
      </c>
      <c r="AG18" s="61">
        <v>193</v>
      </c>
      <c r="AH18" s="61">
        <v>878.7</v>
      </c>
      <c r="AI18" s="61">
        <v>233</v>
      </c>
      <c r="AJ18" s="13">
        <f t="shared" si="13"/>
        <v>5.8337993421052632</v>
      </c>
      <c r="AK18" s="13">
        <f t="shared" si="4"/>
        <v>4.7826233552631576</v>
      </c>
      <c r="AL18" s="13">
        <f t="shared" si="5"/>
        <v>0.15871710526315788</v>
      </c>
      <c r="AM18" s="13">
        <f t="shared" si="6"/>
        <v>0.72261513157894741</v>
      </c>
      <c r="AN18" s="13">
        <f t="shared" si="7"/>
        <v>0.19161184210526316</v>
      </c>
      <c r="AO18" s="14">
        <f t="shared" si="8"/>
        <v>0.13451531038037953</v>
      </c>
      <c r="AP18" s="14">
        <f t="shared" si="8"/>
        <v>0.13722103675223538</v>
      </c>
      <c r="AQ18" s="14">
        <f t="shared" si="8"/>
        <v>1.2202916284394017E-3</v>
      </c>
      <c r="AR18" s="14">
        <f t="shared" si="8"/>
        <v>1.2503264363198072E-2</v>
      </c>
      <c r="AS18" s="14">
        <f t="shared" si="8"/>
        <v>2.8922860034702669E-4</v>
      </c>
      <c r="AT18" s="15">
        <f t="shared" si="9"/>
        <v>0.28574913172459943</v>
      </c>
      <c r="AU18" s="16">
        <f t="shared" si="10"/>
        <v>2.8110706200681834</v>
      </c>
      <c r="AV18" s="17">
        <f t="shared" si="11"/>
        <v>976.76536250363392</v>
      </c>
      <c r="AW18" s="17">
        <f t="shared" si="12"/>
        <v>347.47094417711293</v>
      </c>
      <c r="AX18" s="87"/>
      <c r="AY18" s="10">
        <f t="shared" si="14"/>
        <v>7840.5900549000544</v>
      </c>
      <c r="AZ18" s="37">
        <f t="shared" si="15"/>
        <v>7840.6</v>
      </c>
      <c r="BA18" s="66">
        <v>7840.6</v>
      </c>
      <c r="BB18" s="68">
        <v>275</v>
      </c>
      <c r="BC18" s="67">
        <f t="shared" si="16"/>
        <v>8115.6</v>
      </c>
      <c r="BD18">
        <v>8115.6</v>
      </c>
    </row>
    <row r="19" spans="1:56" ht="19.5" customHeight="1" x14ac:dyDescent="0.25">
      <c r="A19" s="43" t="s">
        <v>65</v>
      </c>
      <c r="B19" s="57">
        <v>1330</v>
      </c>
      <c r="C19" s="36"/>
      <c r="D19" s="56">
        <f t="shared" si="0"/>
        <v>1330</v>
      </c>
      <c r="E19" s="55">
        <v>7478.1579999999994</v>
      </c>
      <c r="F19" s="55">
        <v>9700.4934285714262</v>
      </c>
      <c r="G19" s="55">
        <v>5491.1807142857142</v>
      </c>
      <c r="H19" s="82"/>
      <c r="I19" s="10">
        <f t="shared" si="17"/>
        <v>800.00960513592861</v>
      </c>
      <c r="J19" s="55">
        <v>22.268999999999998</v>
      </c>
      <c r="K19" s="55">
        <v>21.443999999999999</v>
      </c>
      <c r="L19" s="55">
        <v>18</v>
      </c>
      <c r="M19" s="82"/>
      <c r="N19" s="10">
        <f t="shared" si="18"/>
        <v>12.414100812726367</v>
      </c>
      <c r="O19" s="55">
        <v>87.052999999999997</v>
      </c>
      <c r="P19" s="55">
        <v>91.018000000000001</v>
      </c>
      <c r="Q19" s="85"/>
      <c r="R19" s="10">
        <f t="shared" si="19"/>
        <v>109.52823493181019</v>
      </c>
      <c r="S19" s="55">
        <v>612.79899999999998</v>
      </c>
      <c r="T19" s="55">
        <v>695.38099999999997</v>
      </c>
      <c r="U19" s="55">
        <v>137.679</v>
      </c>
      <c r="V19" s="82"/>
      <c r="W19" s="10">
        <f t="shared" si="20"/>
        <v>587.01285949052567</v>
      </c>
      <c r="X19" s="82"/>
      <c r="Y19" s="44">
        <v>0.8</v>
      </c>
      <c r="Z19" s="44">
        <v>3.5404700426407E-3</v>
      </c>
      <c r="AA19" s="49">
        <f t="shared" si="1"/>
        <v>2.8323760341125602E-3</v>
      </c>
      <c r="AB19" s="11">
        <f t="shared" si="21"/>
        <v>1508.9648003709908</v>
      </c>
      <c r="AC19" s="12">
        <f t="shared" si="22"/>
        <v>0.58085605435817544</v>
      </c>
      <c r="AD19" s="36">
        <f t="shared" si="3"/>
        <v>1330</v>
      </c>
      <c r="AE19" s="51">
        <v>9525.2999999999993</v>
      </c>
      <c r="AF19" s="60">
        <v>10130</v>
      </c>
      <c r="AG19" s="61">
        <v>34</v>
      </c>
      <c r="AH19" s="62">
        <v>1142.7</v>
      </c>
      <c r="AI19" s="62">
        <v>502</v>
      </c>
      <c r="AJ19" s="13">
        <f t="shared" si="13"/>
        <v>7.1618796992481197</v>
      </c>
      <c r="AK19" s="13">
        <f t="shared" si="4"/>
        <v>7.6165413533834583</v>
      </c>
      <c r="AL19" s="13">
        <f t="shared" si="5"/>
        <v>2.5563909774436091E-2</v>
      </c>
      <c r="AM19" s="13">
        <f t="shared" si="6"/>
        <v>0.85917293233082714</v>
      </c>
      <c r="AN19" s="13">
        <f t="shared" si="7"/>
        <v>0.37744360902255641</v>
      </c>
      <c r="AO19" s="14">
        <f t="shared" si="8"/>
        <v>0.1651380882606156</v>
      </c>
      <c r="AP19" s="14">
        <f t="shared" si="8"/>
        <v>0.21853063127527927</v>
      </c>
      <c r="AQ19" s="14">
        <f t="shared" si="8"/>
        <v>1.9654734148661276E-4</v>
      </c>
      <c r="AR19" s="14">
        <f t="shared" si="8"/>
        <v>1.4866096539057568E-2</v>
      </c>
      <c r="AS19" s="14">
        <f t="shared" si="8"/>
        <v>5.6973246302570652E-4</v>
      </c>
      <c r="AT19" s="15">
        <f t="shared" si="9"/>
        <v>0.39930109587946477</v>
      </c>
      <c r="AU19" s="16">
        <f t="shared" si="10"/>
        <v>1.454681843732069</v>
      </c>
      <c r="AV19" s="17">
        <f t="shared" si="11"/>
        <v>772.53855229637338</v>
      </c>
      <c r="AW19" s="17">
        <f t="shared" si="12"/>
        <v>531.07045751968815</v>
      </c>
      <c r="AX19" s="87"/>
      <c r="AY19" s="10">
        <f t="shared" si="14"/>
        <v>13109.067627657301</v>
      </c>
      <c r="AZ19" s="37">
        <f t="shared" si="15"/>
        <v>13109</v>
      </c>
      <c r="BA19" s="66">
        <v>13109</v>
      </c>
      <c r="BB19" s="68">
        <v>300.8</v>
      </c>
      <c r="BC19" s="67">
        <f t="shared" si="16"/>
        <v>13409.8</v>
      </c>
      <c r="BD19">
        <v>13409.8</v>
      </c>
    </row>
    <row r="20" spans="1:56" ht="19.5" customHeight="1" x14ac:dyDescent="0.25">
      <c r="A20" s="43" t="s">
        <v>66</v>
      </c>
      <c r="B20" s="58">
        <v>6868</v>
      </c>
      <c r="C20" s="58">
        <v>6868</v>
      </c>
      <c r="D20" s="36">
        <f t="shared" si="0"/>
        <v>0</v>
      </c>
      <c r="E20" s="55">
        <v>109275.004</v>
      </c>
      <c r="F20" s="55">
        <v>117590.80839892149</v>
      </c>
      <c r="G20" s="55">
        <v>52285.9542</v>
      </c>
      <c r="H20" s="83"/>
      <c r="I20" s="10">
        <f t="shared" si="17"/>
        <v>9363.6981718401057</v>
      </c>
      <c r="J20" s="55">
        <v>356.34100000000001</v>
      </c>
      <c r="K20" s="55">
        <v>438.29500000000002</v>
      </c>
      <c r="L20" s="55">
        <v>6.5469999999999997</v>
      </c>
      <c r="M20" s="83"/>
      <c r="N20" s="10">
        <f t="shared" si="18"/>
        <v>118.83153086283937</v>
      </c>
      <c r="O20" s="55">
        <v>692.12599999999998</v>
      </c>
      <c r="P20" s="55">
        <v>616.798</v>
      </c>
      <c r="Q20" s="86"/>
      <c r="R20" s="10">
        <f t="shared" si="19"/>
        <v>788.75134170620265</v>
      </c>
      <c r="S20" s="55">
        <v>2323.4060600000003</v>
      </c>
      <c r="T20" s="55">
        <v>3305.268</v>
      </c>
      <c r="U20" s="55">
        <v>3731.0749999999998</v>
      </c>
      <c r="V20" s="83"/>
      <c r="W20" s="10">
        <f t="shared" si="20"/>
        <v>5095.7532783959077</v>
      </c>
      <c r="X20" s="83"/>
      <c r="Y20" s="44">
        <v>1</v>
      </c>
      <c r="Z20" s="44">
        <v>0.38808202406204401</v>
      </c>
      <c r="AA20" s="49">
        <f t="shared" si="1"/>
        <v>0.38808202406204401</v>
      </c>
      <c r="AB20" s="11">
        <f t="shared" si="21"/>
        <v>15367.034322805055</v>
      </c>
      <c r="AC20" s="12">
        <f t="shared" si="22"/>
        <v>1.4318939037965246</v>
      </c>
      <c r="AD20" s="36">
        <f t="shared" si="3"/>
        <v>6868</v>
      </c>
      <c r="AE20" s="60">
        <v>25247</v>
      </c>
      <c r="AF20" s="60">
        <v>800</v>
      </c>
      <c r="AG20" s="63">
        <v>6253</v>
      </c>
      <c r="AH20" s="64">
        <v>2500</v>
      </c>
      <c r="AI20" s="65">
        <v>9100</v>
      </c>
      <c r="AJ20" s="13">
        <f t="shared" si="13"/>
        <v>3.6760337798485732</v>
      </c>
      <c r="AK20" s="13">
        <f t="shared" si="4"/>
        <v>0.11648223645894001</v>
      </c>
      <c r="AL20" s="13">
        <f t="shared" si="5"/>
        <v>0.91045428072218981</v>
      </c>
      <c r="AM20" s="13">
        <f t="shared" si="6"/>
        <v>0.36400698893418754</v>
      </c>
      <c r="AN20" s="13">
        <f t="shared" si="7"/>
        <v>1.3249854397204426</v>
      </c>
      <c r="AO20" s="14">
        <f t="shared" si="8"/>
        <v>8.4761712885147833E-2</v>
      </c>
      <c r="AP20" s="14">
        <f t="shared" si="8"/>
        <v>3.3420597991529045E-3</v>
      </c>
      <c r="AQ20" s="14">
        <f t="shared" si="8"/>
        <v>7.0000000000000001E-3</v>
      </c>
      <c r="AR20" s="14">
        <f t="shared" si="8"/>
        <v>6.2983397576398857E-3</v>
      </c>
      <c r="AS20" s="14">
        <f t="shared" si="8"/>
        <v>2.0000000000000365E-3</v>
      </c>
      <c r="AT20" s="15">
        <f t="shared" si="9"/>
        <v>0.10340211244194067</v>
      </c>
      <c r="AU20" s="16">
        <f t="shared" si="10"/>
        <v>13.847820610053008</v>
      </c>
      <c r="AV20" s="17">
        <f t="shared" si="11"/>
        <v>9834.2473312745315</v>
      </c>
      <c r="AW20" s="17">
        <f t="shared" si="12"/>
        <v>710.16570825124847</v>
      </c>
      <c r="AX20" s="87"/>
      <c r="AY20" s="10">
        <f t="shared" si="14"/>
        <v>3777.1342094413121</v>
      </c>
      <c r="AZ20" s="37">
        <f t="shared" si="15"/>
        <v>3777.1</v>
      </c>
      <c r="BA20" s="66">
        <v>3777.1</v>
      </c>
      <c r="BB20" s="68">
        <v>1552.9</v>
      </c>
      <c r="BC20" s="67">
        <f t="shared" si="16"/>
        <v>5330</v>
      </c>
      <c r="BD20">
        <v>5330</v>
      </c>
    </row>
    <row r="21" spans="1:56" s="1" customFormat="1" x14ac:dyDescent="0.25">
      <c r="A21" s="18" t="s">
        <v>52</v>
      </c>
      <c r="B21" s="38">
        <f t="shared" ref="B21:G21" si="23">SUM(B7:B20)</f>
        <v>16705</v>
      </c>
      <c r="C21" s="38">
        <f t="shared" si="23"/>
        <v>6868</v>
      </c>
      <c r="D21" s="38">
        <f t="shared" si="23"/>
        <v>9837</v>
      </c>
      <c r="E21" s="21">
        <f t="shared" si="23"/>
        <v>166597.47914285713</v>
      </c>
      <c r="F21" s="21">
        <f t="shared" si="23"/>
        <v>186986.39982749289</v>
      </c>
      <c r="G21" s="21">
        <f t="shared" si="23"/>
        <v>89741.175914285704</v>
      </c>
      <c r="H21" s="19"/>
      <c r="I21" s="18"/>
      <c r="J21" s="21">
        <f>SUM(J7:J20)</f>
        <v>1096.2750000000001</v>
      </c>
      <c r="K21" s="21">
        <f>SUM(K7:K20)</f>
        <v>1282.731</v>
      </c>
      <c r="L21" s="21">
        <f>SUM(L7:L20)</f>
        <v>564.54200000000003</v>
      </c>
      <c r="M21" s="19"/>
      <c r="N21" s="18"/>
      <c r="O21" s="21">
        <f>SUM(O7:O20)</f>
        <v>1578.415</v>
      </c>
      <c r="P21" s="21">
        <f>SUM(P7:P20)</f>
        <v>1143.2660000000001</v>
      </c>
      <c r="Q21" s="19"/>
      <c r="R21" s="20"/>
      <c r="S21" s="21">
        <f>SUM(S7:S20)</f>
        <v>6665.0913599999994</v>
      </c>
      <c r="T21" s="21">
        <f>SUM(T7:T20)</f>
        <v>9478.1772899999996</v>
      </c>
      <c r="U21" s="21">
        <f>SUM(U7:U20)</f>
        <v>3765.4169999999999</v>
      </c>
      <c r="V21" s="19"/>
      <c r="W21" s="18"/>
      <c r="X21" s="19"/>
      <c r="Y21" s="19"/>
      <c r="Z21" s="19"/>
      <c r="AA21" s="18"/>
      <c r="AB21" s="21">
        <f>SUM(AB7:AB20)</f>
        <v>26103.3</v>
      </c>
      <c r="AC21" s="18"/>
      <c r="AD21" s="38">
        <f t="shared" ref="AD21:AI21" si="24">SUM(AD7:AD20)</f>
        <v>16705</v>
      </c>
      <c r="AE21" s="22">
        <f t="shared" si="24"/>
        <v>108731.09999999999</v>
      </c>
      <c r="AF21" s="22">
        <f t="shared" si="24"/>
        <v>79709.710000000006</v>
      </c>
      <c r="AG21" s="22">
        <f>SUM(AG7:AG20)</f>
        <v>7323</v>
      </c>
      <c r="AH21" s="22">
        <f>SUM(AH7:AH20)</f>
        <v>7760</v>
      </c>
      <c r="AI21" s="22">
        <f t="shared" si="24"/>
        <v>11236</v>
      </c>
      <c r="AJ21" s="23">
        <f>MAX(AJ7:AJ20)</f>
        <v>20.556923076923077</v>
      </c>
      <c r="AK21" s="23">
        <f>MAX(AK7:AK20)</f>
        <v>16.834205128205127</v>
      </c>
      <c r="AL21" s="23">
        <f>MAX(AL7:AL20)</f>
        <v>0.91045428072218981</v>
      </c>
      <c r="AM21" s="23">
        <f>MAX(AM7:AM20)</f>
        <v>1.9650000000000001</v>
      </c>
      <c r="AN21" s="23">
        <f>MAX(AN7:AN20)</f>
        <v>1.3249854397204426</v>
      </c>
      <c r="AO21" s="24"/>
      <c r="AP21" s="24"/>
      <c r="AQ21" s="24"/>
      <c r="AR21" s="24"/>
      <c r="AS21" s="24"/>
      <c r="AT21" s="24"/>
      <c r="AU21" s="25"/>
      <c r="AV21" s="17">
        <f>SUM(AV7:AV20)</f>
        <v>15330.849466254907</v>
      </c>
      <c r="AW21" s="17">
        <f>SUM(AW7:AW20)</f>
        <v>5001.6439582096536</v>
      </c>
      <c r="AX21" s="18"/>
      <c r="AY21" s="21">
        <f>SUM(AY7:AY20)</f>
        <v>110874.89999999998</v>
      </c>
      <c r="AZ21" s="20">
        <f>SUM(AZ7:AZ20)</f>
        <v>110874.90000000001</v>
      </c>
      <c r="BA21" s="66">
        <f>SUM(BA7:BA20)</f>
        <v>110874.90000000001</v>
      </c>
      <c r="BB21" s="68">
        <v>3777.6</v>
      </c>
      <c r="BC21" s="67">
        <f t="shared" si="16"/>
        <v>114652.50000000001</v>
      </c>
      <c r="BD21" s="1">
        <f>SUM(BD7:BD20)</f>
        <v>114652.5</v>
      </c>
    </row>
    <row r="22" spans="1:56" x14ac:dyDescent="0.25">
      <c r="AX22" s="29"/>
      <c r="AY22" s="29"/>
      <c r="AZ22" s="26"/>
    </row>
    <row r="23" spans="1:56" x14ac:dyDescent="0.25">
      <c r="AU23" s="39"/>
      <c r="AX23" s="2"/>
      <c r="AY23" s="2"/>
      <c r="AZ23" s="45">
        <v>110874.9</v>
      </c>
    </row>
    <row r="24" spans="1:56" x14ac:dyDescent="0.25">
      <c r="AU24" s="39"/>
      <c r="AX24" s="29"/>
      <c r="AY24" s="29"/>
      <c r="AZ24" s="26">
        <f>AZ25+AZ29</f>
        <v>110874.9</v>
      </c>
    </row>
    <row r="25" spans="1:56" x14ac:dyDescent="0.25">
      <c r="AU25" s="39"/>
      <c r="AX25" s="29"/>
      <c r="AY25" s="29"/>
      <c r="AZ25" s="26">
        <v>94264.9</v>
      </c>
    </row>
    <row r="26" spans="1:56" x14ac:dyDescent="0.25">
      <c r="AU26" s="40"/>
      <c r="AX26" s="29"/>
      <c r="AY26" s="29"/>
      <c r="AZ26" s="26">
        <v>3777.6</v>
      </c>
    </row>
    <row r="27" spans="1:56" x14ac:dyDescent="0.25">
      <c r="AU27" s="39"/>
      <c r="AX27" s="29"/>
      <c r="AY27" s="29"/>
      <c r="AZ27" s="26">
        <v>41.8</v>
      </c>
    </row>
    <row r="28" spans="1:56" x14ac:dyDescent="0.25">
      <c r="AU28" s="39"/>
      <c r="AX28" s="29"/>
      <c r="AY28" s="29"/>
      <c r="AZ28" s="26">
        <f>AZ25+AZ26+AZ27</f>
        <v>98084.3</v>
      </c>
    </row>
    <row r="29" spans="1:56" x14ac:dyDescent="0.25">
      <c r="AU29" s="39"/>
      <c r="AX29" s="29"/>
      <c r="AY29" s="29" t="s">
        <v>74</v>
      </c>
      <c r="AZ29" s="26">
        <v>16610</v>
      </c>
    </row>
    <row r="30" spans="1:56" x14ac:dyDescent="0.25">
      <c r="AU30" s="41"/>
      <c r="AX30" s="29"/>
      <c r="AY30" s="29"/>
      <c r="AZ30" s="26"/>
    </row>
    <row r="31" spans="1:56" x14ac:dyDescent="0.25">
      <c r="AX31" s="29"/>
      <c r="AY31" s="29"/>
      <c r="AZ31" s="26"/>
    </row>
    <row r="32" spans="1:56" x14ac:dyDescent="0.25">
      <c r="AX32" s="30"/>
      <c r="AY32" s="29"/>
      <c r="AZ32" s="42"/>
    </row>
  </sheetData>
  <mergeCells count="38">
    <mergeCell ref="H7:H20"/>
    <mergeCell ref="M7:M20"/>
    <mergeCell ref="Q7:Q20"/>
    <mergeCell ref="V7:V20"/>
    <mergeCell ref="X7:X20"/>
    <mergeCell ref="AX7:AX20"/>
    <mergeCell ref="AV5:AV6"/>
    <mergeCell ref="AW5:AW6"/>
    <mergeCell ref="AX5:AX6"/>
    <mergeCell ref="AY5:AY6"/>
    <mergeCell ref="AZ5:AZ6"/>
    <mergeCell ref="BA5:BB5"/>
    <mergeCell ref="AH5:AH6"/>
    <mergeCell ref="AI5:AI6"/>
    <mergeCell ref="AJ5:AN5"/>
    <mergeCell ref="AO5:AS5"/>
    <mergeCell ref="AT5:AT6"/>
    <mergeCell ref="AU5:AU6"/>
    <mergeCell ref="AG5:AG6"/>
    <mergeCell ref="O5:R5"/>
    <mergeCell ref="S5:W5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B1:N1"/>
    <mergeCell ref="B2:N2"/>
    <mergeCell ref="A5:A6"/>
    <mergeCell ref="B5:B6"/>
    <mergeCell ref="C5:C6"/>
    <mergeCell ref="D5:D6"/>
    <mergeCell ref="E5:I5"/>
    <mergeCell ref="J5:N5"/>
  </mergeCells>
  <conditionalFormatting sqref="AJ7:AN20">
    <cfRule type="cellIs" dxfId="1" priority="1" operator="equal">
      <formula>AJ$17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4"/>
  <sheetViews>
    <sheetView topLeftCell="A10" workbookViewId="0">
      <pane xSplit="1" topLeftCell="AT1" activePane="topRight" state="frozen"/>
      <selection activeCell="A3" sqref="A3"/>
      <selection pane="topRight" activeCell="BD7" sqref="BD7:BD20"/>
    </sheetView>
  </sheetViews>
  <sheetFormatPr defaultColWidth="9.140625" defaultRowHeight="15.75" x14ac:dyDescent="0.25"/>
  <cols>
    <col min="1" max="1" width="40.28515625" style="2" customWidth="1"/>
    <col min="2" max="4" width="10.28515625" style="2" customWidth="1"/>
    <col min="5" max="7" width="13.28515625" style="2" customWidth="1"/>
    <col min="8" max="8" width="11.140625" style="2" customWidth="1"/>
    <col min="9" max="9" width="10.140625" style="2" customWidth="1"/>
    <col min="10" max="12" width="11" style="2" customWidth="1"/>
    <col min="13" max="13" width="9.140625" style="2"/>
    <col min="14" max="14" width="8.28515625" style="2" customWidth="1"/>
    <col min="15" max="15" width="11.140625" style="2" customWidth="1"/>
    <col min="16" max="16" width="11" style="2" customWidth="1"/>
    <col min="17" max="17" width="10.28515625" style="2" customWidth="1"/>
    <col min="18" max="18" width="10.140625" style="2" bestFit="1" customWidth="1"/>
    <col min="19" max="20" width="12.42578125" style="2" bestFit="1" customWidth="1"/>
    <col min="21" max="21" width="12.28515625" style="2" customWidth="1"/>
    <col min="22" max="22" width="10.5703125" style="2" customWidth="1"/>
    <col min="23" max="23" width="10.42578125" style="2" customWidth="1"/>
    <col min="24" max="24" width="11.140625" style="2" customWidth="1"/>
    <col min="25" max="25" width="15.7109375" style="26" customWidth="1"/>
    <col min="26" max="26" width="16.42578125" style="26" customWidth="1"/>
    <col min="27" max="27" width="17.28515625" style="26" customWidth="1"/>
    <col min="28" max="28" width="12.42578125" style="2" customWidth="1"/>
    <col min="29" max="29" width="9.140625" style="1"/>
    <col min="30" max="30" width="11.7109375" style="29" customWidth="1"/>
    <col min="31" max="31" width="14.7109375" style="30" customWidth="1"/>
    <col min="32" max="35" width="13.42578125" style="30" customWidth="1"/>
    <col min="36" max="40" width="9.140625" style="1"/>
    <col min="41" max="46" width="9.140625" style="29"/>
    <col min="47" max="47" width="9.140625" style="2"/>
    <col min="48" max="49" width="9.140625" style="1"/>
    <col min="50" max="50" width="22" style="1" customWidth="1"/>
    <col min="51" max="51" width="14.7109375" style="1" customWidth="1"/>
    <col min="52" max="52" width="16" style="2" customWidth="1"/>
    <col min="53" max="53" width="15.42578125" style="2" customWidth="1"/>
    <col min="54" max="54" width="18.28515625" style="2" customWidth="1"/>
    <col min="55" max="55" width="15.85546875" style="2" customWidth="1"/>
    <col min="56" max="56" width="13.140625" customWidth="1"/>
    <col min="57" max="58" width="8.85546875" customWidth="1"/>
    <col min="59" max="16384" width="9.140625" style="2"/>
  </cols>
  <sheetData>
    <row r="1" spans="1:56" s="26" customFormat="1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X1" s="2"/>
      <c r="AB1" s="2"/>
      <c r="AC1" s="1"/>
      <c r="AD1" s="29"/>
      <c r="AE1" s="30"/>
      <c r="AF1" s="30"/>
      <c r="AG1" s="30"/>
      <c r="AH1" s="30"/>
      <c r="AI1" s="30"/>
      <c r="AJ1" s="1"/>
      <c r="AK1" s="1"/>
      <c r="AL1" s="1"/>
      <c r="AM1" s="1"/>
      <c r="AN1" s="1"/>
      <c r="AO1" s="29"/>
      <c r="AP1" s="29"/>
      <c r="AQ1" s="29"/>
      <c r="AR1" s="29"/>
      <c r="AS1" s="29"/>
      <c r="AT1" s="29"/>
      <c r="AU1" s="2"/>
      <c r="AV1" s="1"/>
      <c r="AW1" s="1"/>
      <c r="AX1" s="1"/>
      <c r="AY1" s="1"/>
      <c r="AZ1" s="2"/>
    </row>
    <row r="2" spans="1:56" s="26" customFormat="1" ht="51.75" customHeight="1" x14ac:dyDescent="0.25">
      <c r="B2" s="107" t="s">
        <v>71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X2" s="2"/>
      <c r="AB2" s="2"/>
      <c r="AC2" s="1"/>
      <c r="AD2" s="29"/>
      <c r="AE2" s="31"/>
      <c r="AF2" s="31"/>
      <c r="AG2" s="31"/>
      <c r="AH2" s="31"/>
      <c r="AI2" s="31"/>
      <c r="AJ2" s="1"/>
      <c r="AK2" s="1"/>
      <c r="AL2" s="1"/>
      <c r="AM2" s="1"/>
      <c r="AN2" s="1"/>
      <c r="AO2" s="29"/>
      <c r="AP2" s="29"/>
      <c r="AQ2" s="29"/>
      <c r="AR2" s="29"/>
      <c r="AS2" s="29"/>
      <c r="AT2" s="29"/>
      <c r="AU2" s="2"/>
      <c r="AV2" s="1"/>
      <c r="AW2" s="1"/>
      <c r="AX2" s="1"/>
      <c r="AY2" s="1"/>
      <c r="AZ2" s="2"/>
    </row>
    <row r="3" spans="1:56" ht="27" x14ac:dyDescent="0.45">
      <c r="AE3" s="27" t="s">
        <v>1</v>
      </c>
      <c r="AF3" s="27" t="s">
        <v>2</v>
      </c>
      <c r="AG3" s="27" t="s">
        <v>3</v>
      </c>
      <c r="AH3" s="27" t="s">
        <v>4</v>
      </c>
      <c r="AI3" s="27" t="s">
        <v>5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X3" s="33">
        <f>(AZ23/(X7/B21)+AV21)/AW21</f>
        <v>17.328706567301577</v>
      </c>
      <c r="AY3" s="2"/>
    </row>
    <row r="4" spans="1:56" x14ac:dyDescent="0.25">
      <c r="B4" s="3"/>
      <c r="G4" s="4"/>
      <c r="Y4" s="2"/>
      <c r="Z4" s="2"/>
      <c r="AA4" s="2"/>
      <c r="AD4" s="1"/>
      <c r="AE4" s="34">
        <v>0.47399999999999998</v>
      </c>
      <c r="AF4" s="34">
        <v>0.48299999999999998</v>
      </c>
      <c r="AG4" s="34">
        <v>7.0000000000000001E-3</v>
      </c>
      <c r="AH4" s="34">
        <v>3.4000000000000002E-2</v>
      </c>
      <c r="AI4" s="28">
        <f>1-AE4-AF4-AG4-AH4</f>
        <v>2.0000000000000365E-3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Z4" s="6"/>
    </row>
    <row r="5" spans="1:56" ht="15.75" customHeight="1" x14ac:dyDescent="0.25">
      <c r="A5" s="108" t="s">
        <v>6</v>
      </c>
      <c r="B5" s="103" t="s">
        <v>7</v>
      </c>
      <c r="C5" s="103" t="s">
        <v>8</v>
      </c>
      <c r="D5" s="103" t="s">
        <v>9</v>
      </c>
      <c r="E5" s="110" t="s">
        <v>10</v>
      </c>
      <c r="F5" s="111"/>
      <c r="G5" s="111"/>
      <c r="H5" s="111"/>
      <c r="I5" s="112"/>
      <c r="J5" s="110" t="s">
        <v>11</v>
      </c>
      <c r="K5" s="111"/>
      <c r="L5" s="111"/>
      <c r="M5" s="111"/>
      <c r="N5" s="112"/>
      <c r="O5" s="110" t="s">
        <v>12</v>
      </c>
      <c r="P5" s="111"/>
      <c r="Q5" s="111"/>
      <c r="R5" s="112"/>
      <c r="S5" s="110" t="s">
        <v>13</v>
      </c>
      <c r="T5" s="111"/>
      <c r="U5" s="111"/>
      <c r="V5" s="111"/>
      <c r="W5" s="112"/>
      <c r="X5" s="88" t="s">
        <v>14</v>
      </c>
      <c r="Y5" s="88" t="s">
        <v>15</v>
      </c>
      <c r="Z5" s="88" t="s">
        <v>16</v>
      </c>
      <c r="AA5" s="88" t="s">
        <v>17</v>
      </c>
      <c r="AB5" s="88" t="s">
        <v>18</v>
      </c>
      <c r="AC5" s="101" t="s">
        <v>19</v>
      </c>
      <c r="AD5" s="103" t="s">
        <v>7</v>
      </c>
      <c r="AE5" s="91" t="s">
        <v>20</v>
      </c>
      <c r="AF5" s="91" t="s">
        <v>21</v>
      </c>
      <c r="AG5" s="91" t="s">
        <v>22</v>
      </c>
      <c r="AH5" s="91" t="s">
        <v>23</v>
      </c>
      <c r="AI5" s="91" t="s">
        <v>24</v>
      </c>
      <c r="AJ5" s="93" t="s">
        <v>25</v>
      </c>
      <c r="AK5" s="94"/>
      <c r="AL5" s="94"/>
      <c r="AM5" s="94"/>
      <c r="AN5" s="95"/>
      <c r="AO5" s="96" t="s">
        <v>26</v>
      </c>
      <c r="AP5" s="97"/>
      <c r="AQ5" s="97"/>
      <c r="AR5" s="97"/>
      <c r="AS5" s="98"/>
      <c r="AT5" s="99" t="s">
        <v>27</v>
      </c>
      <c r="AU5" s="90" t="s">
        <v>28</v>
      </c>
      <c r="AV5" s="88" t="s">
        <v>29</v>
      </c>
      <c r="AW5" s="90" t="s">
        <v>30</v>
      </c>
      <c r="AX5" s="90" t="s">
        <v>31</v>
      </c>
      <c r="AY5" s="88" t="s">
        <v>32</v>
      </c>
      <c r="AZ5" s="90" t="s">
        <v>73</v>
      </c>
      <c r="BA5" s="105"/>
      <c r="BB5" s="105"/>
      <c r="BC5" s="105"/>
    </row>
    <row r="6" spans="1:56" s="9" customFormat="1" ht="63.75" x14ac:dyDescent="0.25">
      <c r="A6" s="109"/>
      <c r="B6" s="104"/>
      <c r="C6" s="104"/>
      <c r="D6" s="104"/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35" t="s">
        <v>38</v>
      </c>
      <c r="K6" s="35" t="s">
        <v>39</v>
      </c>
      <c r="L6" s="35" t="s">
        <v>40</v>
      </c>
      <c r="M6" s="7" t="s">
        <v>41</v>
      </c>
      <c r="N6" s="7" t="s">
        <v>42</v>
      </c>
      <c r="O6" s="7" t="s">
        <v>38</v>
      </c>
      <c r="P6" s="7" t="s">
        <v>39</v>
      </c>
      <c r="Q6" s="7" t="s">
        <v>43</v>
      </c>
      <c r="R6" s="7" t="s">
        <v>44</v>
      </c>
      <c r="S6" s="7" t="s">
        <v>38</v>
      </c>
      <c r="T6" s="7" t="s">
        <v>39</v>
      </c>
      <c r="U6" s="7" t="s">
        <v>40</v>
      </c>
      <c r="V6" s="7" t="s">
        <v>45</v>
      </c>
      <c r="W6" s="7" t="s">
        <v>46</v>
      </c>
      <c r="X6" s="89"/>
      <c r="Y6" s="89"/>
      <c r="Z6" s="89"/>
      <c r="AA6" s="89"/>
      <c r="AB6" s="89"/>
      <c r="AC6" s="102"/>
      <c r="AD6" s="104"/>
      <c r="AE6" s="92"/>
      <c r="AF6" s="92"/>
      <c r="AG6" s="92"/>
      <c r="AH6" s="92"/>
      <c r="AI6" s="92"/>
      <c r="AJ6" s="8" t="s">
        <v>47</v>
      </c>
      <c r="AK6" s="8" t="s">
        <v>48</v>
      </c>
      <c r="AL6" s="8" t="s">
        <v>49</v>
      </c>
      <c r="AM6" s="8" t="s">
        <v>50</v>
      </c>
      <c r="AN6" s="8" t="s">
        <v>51</v>
      </c>
      <c r="AO6" s="8" t="s">
        <v>47</v>
      </c>
      <c r="AP6" s="8" t="s">
        <v>48</v>
      </c>
      <c r="AQ6" s="8" t="s">
        <v>49</v>
      </c>
      <c r="AR6" s="8" t="s">
        <v>50</v>
      </c>
      <c r="AS6" s="8" t="s">
        <v>51</v>
      </c>
      <c r="AT6" s="100"/>
      <c r="AU6" s="90"/>
      <c r="AV6" s="89"/>
      <c r="AW6" s="90"/>
      <c r="AX6" s="90"/>
      <c r="AY6" s="89"/>
      <c r="AZ6" s="90"/>
      <c r="BA6" s="48"/>
      <c r="BB6" s="48"/>
      <c r="BC6" s="48"/>
    </row>
    <row r="7" spans="1:56" ht="19.5" customHeight="1" x14ac:dyDescent="0.25">
      <c r="A7" s="43" t="s">
        <v>53</v>
      </c>
      <c r="B7" s="57">
        <v>1071</v>
      </c>
      <c r="C7" s="36">
        <v>0</v>
      </c>
      <c r="D7" s="56">
        <f t="shared" ref="D7:D20" si="0">B7-C7</f>
        <v>1071</v>
      </c>
      <c r="E7" s="55">
        <v>6081.9538571428575</v>
      </c>
      <c r="F7" s="55">
        <v>7206.2901428571422</v>
      </c>
      <c r="G7" s="55">
        <v>4498.225571428572</v>
      </c>
      <c r="H7" s="81">
        <v>15083.2</v>
      </c>
      <c r="I7" s="10">
        <f>H$7*((0.3*E7/E$21)+(0.35*F7/F$21)+(0.35*G7/G$21))</f>
        <v>633.25766688390752</v>
      </c>
      <c r="J7" s="55">
        <v>107.652</v>
      </c>
      <c r="K7" s="55">
        <v>103.15</v>
      </c>
      <c r="L7" s="55">
        <v>72.046999999999997</v>
      </c>
      <c r="M7" s="81">
        <v>537.29999999999995</v>
      </c>
      <c r="N7" s="10">
        <f>M$7*((0.3*J7/J$21)+(0.35*K7/K$21)+(0.35*L7/L$21))</f>
        <v>54.950486424192505</v>
      </c>
      <c r="O7" s="55">
        <v>59.953000000000003</v>
      </c>
      <c r="P7" s="55">
        <v>68.147000000000006</v>
      </c>
      <c r="Q7" s="81">
        <v>1596.5</v>
      </c>
      <c r="R7" s="10">
        <f>Q$7*((0.45*O7/O$21)+(0.55*P7/P$21))</f>
        <v>79.627645851079691</v>
      </c>
      <c r="S7" s="55">
        <v>436.09699999999998</v>
      </c>
      <c r="T7" s="55">
        <v>504.733</v>
      </c>
      <c r="U7" s="55">
        <v>118.54600000000001</v>
      </c>
      <c r="V7" s="81">
        <v>8886.2999999999993</v>
      </c>
      <c r="W7" s="10">
        <f>V$7*((0.3*S7/S$21)+(0.35*T7/T$21)+(0.35*U7/U$21))</f>
        <v>437.97227929402771</v>
      </c>
      <c r="X7" s="81">
        <f>V7+Q7+M7+H7</f>
        <v>26103.3</v>
      </c>
      <c r="Y7" s="44">
        <v>0.8</v>
      </c>
      <c r="Z7" s="44">
        <v>1.7290416599104999E-3</v>
      </c>
      <c r="AA7" s="49">
        <f t="shared" ref="AA7:AA20" si="1">Y7*Z7</f>
        <v>1.3832333279283999E-3</v>
      </c>
      <c r="AB7" s="11">
        <f t="shared" ref="AB7" si="2">I7+N7+R7+W7</f>
        <v>1205.8080784532074</v>
      </c>
      <c r="AC7" s="12">
        <f>(AB7/B7)*(B$21/AB$21)*Y7</f>
        <v>0.57640769584515628</v>
      </c>
      <c r="AD7" s="36">
        <f t="shared" ref="AD7:AD20" si="3">B7</f>
        <v>1071</v>
      </c>
      <c r="AE7" s="51">
        <v>7224.9</v>
      </c>
      <c r="AF7" s="60">
        <v>8410</v>
      </c>
      <c r="AG7" s="61">
        <v>1</v>
      </c>
      <c r="AH7" s="61">
        <v>572</v>
      </c>
      <c r="AI7" s="61">
        <v>110</v>
      </c>
      <c r="AJ7" s="13">
        <f>IF(AD7=0, ,AE7/AD7)</f>
        <v>6.7459383753501401</v>
      </c>
      <c r="AK7" s="13">
        <f t="shared" ref="AK7:AK20" si="4">IF(AD7=0, ,AF7/AD7)</f>
        <v>7.852474323062558</v>
      </c>
      <c r="AL7" s="13">
        <f t="shared" ref="AL7:AL20" si="5">IF(AD7=0, ,AG7/AD7)</f>
        <v>9.3370681605975728E-4</v>
      </c>
      <c r="AM7" s="13">
        <f t="shared" ref="AM7:AM20" si="6">IF(AD7=0, ,AH7/AD7)</f>
        <v>0.53408029878618113</v>
      </c>
      <c r="AN7" s="13">
        <f t="shared" ref="AN7:AN20" si="7">IF(AD7=0, ,AI7/AD7)</f>
        <v>0.10270774976657329</v>
      </c>
      <c r="AO7" s="14">
        <f t="shared" ref="AO7:AS20" si="8">AJ7/AJ$21*AE$4</f>
        <v>0.15554734421833394</v>
      </c>
      <c r="AP7" s="14">
        <f t="shared" si="8"/>
        <v>0.22529992174591018</v>
      </c>
      <c r="AQ7" s="14">
        <f t="shared" si="8"/>
        <v>7.1787764095456409E-6</v>
      </c>
      <c r="AR7" s="14">
        <f t="shared" si="8"/>
        <v>9.2410840502443557E-3</v>
      </c>
      <c r="AS7" s="14">
        <f t="shared" si="8"/>
        <v>1.5503226931798644E-4</v>
      </c>
      <c r="AT7" s="15">
        <f t="shared" ref="AT7:AT20" si="9">IF(AD7=0,0,AO7+AP7+AQ7+AR7+AS7)</f>
        <v>0.39025056106021605</v>
      </c>
      <c r="AU7" s="16">
        <f t="shared" ref="AU7:AU20" si="10">AC7/AT7</f>
        <v>1.4770195186374531</v>
      </c>
      <c r="AV7" s="17">
        <f t="shared" ref="AV7:AV20" si="11">AU7*AT7*B7</f>
        <v>617.33264225016239</v>
      </c>
      <c r="AW7" s="17">
        <f t="shared" ref="AW7:AW20" si="12">AT7*B7</f>
        <v>417.95835089549138</v>
      </c>
      <c r="AX7" s="87">
        <v>17.328620000000001</v>
      </c>
      <c r="AY7" s="50">
        <f>IF((X$7/B$21)*(AX$3-AU7)*AT7*B7&lt;0,0,(X$7/B$21)*(AX$3-AU7)*AT7*B7)</f>
        <v>10352.790635034526</v>
      </c>
      <c r="AZ7" s="37">
        <f>ROUNDUP(IF((X$7/B$21*(AX$7-AU7)*AT7*B7)&lt;0,0,(X$7/B$21*(AX$7-AU7)*AT7*B7)),1)</f>
        <v>10352.800000000001</v>
      </c>
      <c r="BA7" s="68">
        <f>B7*0.23499</f>
        <v>251.67429000000001</v>
      </c>
      <c r="BB7" s="66">
        <v>10352.799999999999</v>
      </c>
      <c r="BC7" s="66">
        <f>BA7+BB7</f>
        <v>10604.47429</v>
      </c>
      <c r="BD7" s="79">
        <v>10604.5</v>
      </c>
    </row>
    <row r="8" spans="1:56" ht="19.5" customHeight="1" x14ac:dyDescent="0.25">
      <c r="A8" s="43" t="s">
        <v>54</v>
      </c>
      <c r="B8" s="57">
        <v>380</v>
      </c>
      <c r="C8" s="36">
        <v>0</v>
      </c>
      <c r="D8" s="56">
        <f t="shared" si="0"/>
        <v>380</v>
      </c>
      <c r="E8" s="55">
        <v>2751.6365714285712</v>
      </c>
      <c r="F8" s="55">
        <v>3241.2989999999995</v>
      </c>
      <c r="G8" s="55">
        <v>1434.9911428571429</v>
      </c>
      <c r="H8" s="82"/>
      <c r="I8" s="10">
        <f>H$7*((0.3*E8/E$21)+(0.35*F8/F$21)+(0.35*G8/G$21))</f>
        <v>250.66260894441768</v>
      </c>
      <c r="J8" s="55">
        <v>0</v>
      </c>
      <c r="K8" s="55">
        <v>0</v>
      </c>
      <c r="L8" s="55">
        <v>0</v>
      </c>
      <c r="M8" s="82"/>
      <c r="N8" s="10">
        <f>M$7*((0.3*J8/J$21)+(0.35*K8/K$21)+(0.35*L8/L$21))</f>
        <v>0</v>
      </c>
      <c r="O8" s="55">
        <v>26.620999999999999</v>
      </c>
      <c r="P8" s="55">
        <v>16.879000000000001</v>
      </c>
      <c r="Q8" s="82"/>
      <c r="R8" s="10">
        <f>Q$7*((0.45*O8/O$21)+(0.55*P8/P$21))</f>
        <v>25.080468550822381</v>
      </c>
      <c r="S8" s="55">
        <v>205.03299999999999</v>
      </c>
      <c r="T8" s="55">
        <v>243.01900000000001</v>
      </c>
      <c r="U8" s="55">
        <v>63.863999999999997</v>
      </c>
      <c r="V8" s="82"/>
      <c r="W8" s="10">
        <f>V$7*((0.3*S8/S$21)+(0.35*T8/T$21)+(0.35*U8/U$21))</f>
        <v>214.50503185982708</v>
      </c>
      <c r="X8" s="82"/>
      <c r="Y8" s="44">
        <v>0.8</v>
      </c>
      <c r="Z8" s="44">
        <v>1.6756876389470001E-4</v>
      </c>
      <c r="AA8" s="49">
        <f t="shared" si="1"/>
        <v>1.3405501111576001E-4</v>
      </c>
      <c r="AB8" s="11">
        <f>I8+N8+R8+W8</f>
        <v>490.24810935506719</v>
      </c>
      <c r="AC8" s="12">
        <f>(AB8/B8)*(B$21/AB$21)*Y8</f>
        <v>0.66050085353405796</v>
      </c>
      <c r="AD8" s="36">
        <f t="shared" si="3"/>
        <v>380</v>
      </c>
      <c r="AE8" s="51">
        <v>6754</v>
      </c>
      <c r="AF8" s="60">
        <v>4044.67</v>
      </c>
      <c r="AG8" s="61">
        <v>5</v>
      </c>
      <c r="AH8" s="61">
        <v>746.7</v>
      </c>
      <c r="AI8" s="61">
        <v>201</v>
      </c>
      <c r="AJ8" s="13">
        <f t="shared" ref="AJ8:AJ20" si="13">IF(AD8=0, ,AE8/AD8)</f>
        <v>17.773684210526316</v>
      </c>
      <c r="AK8" s="13">
        <f t="shared" si="4"/>
        <v>10.643868421052632</v>
      </c>
      <c r="AL8" s="13">
        <f t="shared" si="5"/>
        <v>1.3157894736842105E-2</v>
      </c>
      <c r="AM8" s="13">
        <f t="shared" si="6"/>
        <v>1.9650000000000001</v>
      </c>
      <c r="AN8" s="13">
        <f t="shared" si="7"/>
        <v>0.52894736842105261</v>
      </c>
      <c r="AO8" s="14">
        <f t="shared" si="8"/>
        <v>0.4098242856805237</v>
      </c>
      <c r="AP8" s="14">
        <f t="shared" si="8"/>
        <v>0.3053894382429066</v>
      </c>
      <c r="AQ8" s="14">
        <f t="shared" si="8"/>
        <v>1.0116407282399185E-4</v>
      </c>
      <c r="AR8" s="14">
        <f t="shared" si="8"/>
        <v>3.4000000000000002E-2</v>
      </c>
      <c r="AS8" s="14">
        <f t="shared" si="8"/>
        <v>7.9841989589359464E-4</v>
      </c>
      <c r="AT8" s="15">
        <f t="shared" si="9"/>
        <v>0.75011330789214792</v>
      </c>
      <c r="AU8" s="16">
        <f t="shared" si="10"/>
        <v>0.88053477599283636</v>
      </c>
      <c r="AV8" s="17">
        <f t="shared" si="11"/>
        <v>250.99032434294202</v>
      </c>
      <c r="AW8" s="17">
        <f t="shared" si="12"/>
        <v>285.04305699901619</v>
      </c>
      <c r="AX8" s="87"/>
      <c r="AY8" s="50">
        <f t="shared" ref="AY8:AY20" si="14">IF((X$7/B$21)*(AX$3-AU8)*AT8*B8&lt;0,0,(X$7/B$21)*(AX$3-AU8)*AT8*B8)</f>
        <v>7326.1707252339702</v>
      </c>
      <c r="AZ8" s="37">
        <f t="shared" ref="AZ8:AZ20" si="15">ROUNDUP(IF((X$7/B$21*(AX$7-AU8)*AT8*B8)&lt;0,0,(X$7/B$21*(AX$7-AU8)*AT8*B8)),1)</f>
        <v>7326.2000000000007</v>
      </c>
      <c r="BA8" s="68">
        <f t="shared" ref="BA8:BA20" si="16">B8*0.23497</f>
        <v>89.288600000000002</v>
      </c>
      <c r="BB8" s="66">
        <v>7326.2</v>
      </c>
      <c r="BC8" s="66">
        <f t="shared" ref="BC8:BC21" si="17">BA8+BB8</f>
        <v>7415.4885999999997</v>
      </c>
      <c r="BD8" s="79">
        <v>7415.5</v>
      </c>
    </row>
    <row r="9" spans="1:56" ht="19.5" customHeight="1" x14ac:dyDescent="0.25">
      <c r="A9" s="43" t="s">
        <v>55</v>
      </c>
      <c r="B9" s="57">
        <v>908</v>
      </c>
      <c r="C9" s="36"/>
      <c r="D9" s="56">
        <f t="shared" si="0"/>
        <v>908</v>
      </c>
      <c r="E9" s="55">
        <v>5555.2252857142857</v>
      </c>
      <c r="F9" s="55">
        <v>6415.8962857142851</v>
      </c>
      <c r="G9" s="55">
        <v>3233.6331428571425</v>
      </c>
      <c r="H9" s="82"/>
      <c r="I9" s="10">
        <f t="shared" ref="I9:I20" si="18">H$7*((0.3*E9/E$21)+(0.35*F9/F$21)+(0.35*G9/G$21))</f>
        <v>522.24527423798406</v>
      </c>
      <c r="J9" s="55">
        <v>7.8179999999999996</v>
      </c>
      <c r="K9" s="55">
        <v>14.88</v>
      </c>
      <c r="L9" s="55">
        <v>12.06</v>
      </c>
      <c r="M9" s="82"/>
      <c r="N9" s="10">
        <f t="shared" ref="N9:N20" si="19">M$7*((0.3*J9/J$21)+(0.35*K9/K$21)+(0.35*L9/L$21))</f>
        <v>7.3483143876627777</v>
      </c>
      <c r="O9" s="55">
        <v>97.414000000000001</v>
      </c>
      <c r="P9" s="55">
        <v>54.360999999999997</v>
      </c>
      <c r="Q9" s="82"/>
      <c r="R9" s="10">
        <f t="shared" ref="R9:R20" si="20">Q$7*((0.45*O9/O$21)+(0.55*P9/P$21))</f>
        <v>86.090032123051969</v>
      </c>
      <c r="S9" s="55">
        <v>358.71</v>
      </c>
      <c r="T9" s="55">
        <v>1607.6210000000001</v>
      </c>
      <c r="U9" s="55">
        <v>-933.41499999999996</v>
      </c>
      <c r="V9" s="82"/>
      <c r="W9" s="10">
        <f t="shared" ref="W9:W20" si="21">V$7*((0.3*S9/S$21)+(0.35*T9/T$21)+(0.35*U9/U$21))</f>
        <v>-99.9865337296837</v>
      </c>
      <c r="X9" s="82"/>
      <c r="Y9" s="44">
        <v>0.8</v>
      </c>
      <c r="Z9" s="44">
        <v>7.7665949287230001E-4</v>
      </c>
      <c r="AA9" s="49">
        <f t="shared" si="1"/>
        <v>6.2132759429784008E-4</v>
      </c>
      <c r="AB9" s="11">
        <f t="shared" ref="AB9:AB20" si="22">I9+N9+R9+W9</f>
        <v>515.69708701901504</v>
      </c>
      <c r="AC9" s="12">
        <f t="shared" ref="AC9:AC20" si="23">(AB9/B9)*(B$21/AB$21)*Y9</f>
        <v>0.2907701911962301</v>
      </c>
      <c r="AD9" s="36">
        <f t="shared" si="3"/>
        <v>908</v>
      </c>
      <c r="AE9" s="51">
        <v>7459.2</v>
      </c>
      <c r="AF9" s="60">
        <v>6422.7</v>
      </c>
      <c r="AG9" s="61">
        <v>96</v>
      </c>
      <c r="AH9" s="61">
        <v>61.3</v>
      </c>
      <c r="AI9" s="61">
        <v>251</v>
      </c>
      <c r="AJ9" s="13">
        <f t="shared" si="13"/>
        <v>8.2149779735682813</v>
      </c>
      <c r="AK9" s="13">
        <f t="shared" si="4"/>
        <v>7.0734581497797357</v>
      </c>
      <c r="AL9" s="13">
        <f t="shared" si="5"/>
        <v>0.10572687224669604</v>
      </c>
      <c r="AM9" s="13">
        <f t="shared" si="6"/>
        <v>6.7511013215859034E-2</v>
      </c>
      <c r="AN9" s="13">
        <f t="shared" si="7"/>
        <v>0.27643171806167399</v>
      </c>
      <c r="AO9" s="14">
        <f t="shared" si="8"/>
        <v>0.18942034977221878</v>
      </c>
      <c r="AP9" s="14">
        <f t="shared" si="8"/>
        <v>0.20294871425912578</v>
      </c>
      <c r="AQ9" s="14">
        <f t="shared" si="8"/>
        <v>8.1287783625974075E-4</v>
      </c>
      <c r="AR9" s="14">
        <f t="shared" si="8"/>
        <v>1.1681294907578664E-3</v>
      </c>
      <c r="AS9" s="14">
        <f t="shared" si="8"/>
        <v>4.1726000871376081E-4</v>
      </c>
      <c r="AT9" s="15">
        <f t="shared" si="9"/>
        <v>0.39476733136707587</v>
      </c>
      <c r="AU9" s="16">
        <f t="shared" si="10"/>
        <v>0.7365609261265248</v>
      </c>
      <c r="AV9" s="17">
        <f t="shared" si="11"/>
        <v>264.01933360617693</v>
      </c>
      <c r="AW9" s="17">
        <f t="shared" si="12"/>
        <v>358.44873688130491</v>
      </c>
      <c r="AX9" s="87"/>
      <c r="AY9" s="50">
        <f t="shared" si="14"/>
        <v>9293.4836709808333</v>
      </c>
      <c r="AZ9" s="37">
        <f t="shared" si="15"/>
        <v>9293.5</v>
      </c>
      <c r="BA9" s="68">
        <f t="shared" si="16"/>
        <v>213.35276000000002</v>
      </c>
      <c r="BB9" s="66">
        <v>9293.5</v>
      </c>
      <c r="BC9" s="66">
        <f t="shared" si="17"/>
        <v>9506.8527599999998</v>
      </c>
      <c r="BD9" s="79">
        <v>9506.9</v>
      </c>
    </row>
    <row r="10" spans="1:56" ht="19.5" customHeight="1" x14ac:dyDescent="0.25">
      <c r="A10" s="43" t="s">
        <v>56</v>
      </c>
      <c r="B10" s="57">
        <v>195</v>
      </c>
      <c r="C10" s="36"/>
      <c r="D10" s="56">
        <f t="shared" si="0"/>
        <v>195</v>
      </c>
      <c r="E10" s="55">
        <v>1665.1082857142858</v>
      </c>
      <c r="F10" s="55">
        <v>2273.1885714285718</v>
      </c>
      <c r="G10" s="55">
        <v>1178.7771428571425</v>
      </c>
      <c r="H10" s="82"/>
      <c r="I10" s="10">
        <f t="shared" si="18"/>
        <v>178.7470004827554</v>
      </c>
      <c r="J10" s="55">
        <v>2.46</v>
      </c>
      <c r="K10" s="55">
        <v>1.8</v>
      </c>
      <c r="L10" s="55">
        <v>13.08</v>
      </c>
      <c r="M10" s="82"/>
      <c r="N10" s="10">
        <f t="shared" si="19"/>
        <v>4.9826820289192968</v>
      </c>
      <c r="O10" s="55">
        <v>4.0830000000000002</v>
      </c>
      <c r="P10" s="55">
        <v>0.73499999999999999</v>
      </c>
      <c r="Q10" s="82"/>
      <c r="R10" s="10">
        <f t="shared" si="20"/>
        <v>2.4229118295512162</v>
      </c>
      <c r="S10" s="55">
        <v>91.078999999999994</v>
      </c>
      <c r="T10" s="55">
        <v>77.739999999999995</v>
      </c>
      <c r="U10" s="55">
        <v>24.411999999999999</v>
      </c>
      <c r="V10" s="82"/>
      <c r="W10" s="10">
        <f t="shared" si="21"/>
        <v>82.10361667096565</v>
      </c>
      <c r="X10" s="82"/>
      <c r="Y10" s="44">
        <v>0.8</v>
      </c>
      <c r="Z10" s="44">
        <v>4.2813121873499999E-5</v>
      </c>
      <c r="AA10" s="49">
        <f t="shared" si="1"/>
        <v>3.4250497498800002E-5</v>
      </c>
      <c r="AB10" s="11">
        <f t="shared" si="22"/>
        <v>268.25621101219156</v>
      </c>
      <c r="AC10" s="12">
        <f t="shared" si="23"/>
        <v>0.70429763010943169</v>
      </c>
      <c r="AD10" s="36">
        <f t="shared" si="3"/>
        <v>195</v>
      </c>
      <c r="AE10" s="51">
        <v>4008.6</v>
      </c>
      <c r="AF10" s="60">
        <v>3282.67</v>
      </c>
      <c r="AG10" s="61">
        <v>3</v>
      </c>
      <c r="AH10" s="61">
        <v>1.3</v>
      </c>
      <c r="AI10" s="61">
        <v>1</v>
      </c>
      <c r="AJ10" s="13">
        <f t="shared" si="13"/>
        <v>20.556923076923077</v>
      </c>
      <c r="AK10" s="13">
        <f t="shared" si="4"/>
        <v>16.834205128205127</v>
      </c>
      <c r="AL10" s="13">
        <f t="shared" si="5"/>
        <v>1.5384615384615385E-2</v>
      </c>
      <c r="AM10" s="13">
        <f t="shared" si="6"/>
        <v>6.6666666666666671E-3</v>
      </c>
      <c r="AN10" s="13">
        <f t="shared" si="7"/>
        <v>5.1282051282051282E-3</v>
      </c>
      <c r="AO10" s="14">
        <f t="shared" si="8"/>
        <v>0.47399999999999998</v>
      </c>
      <c r="AP10" s="14">
        <f t="shared" si="8"/>
        <v>0.48299999999999998</v>
      </c>
      <c r="AQ10" s="14">
        <f t="shared" si="8"/>
        <v>1.1828414668651356E-4</v>
      </c>
      <c r="AR10" s="14">
        <f t="shared" si="8"/>
        <v>1.1535199321458865E-4</v>
      </c>
      <c r="AS10" s="14">
        <f t="shared" si="8"/>
        <v>7.7407720484644984E-6</v>
      </c>
      <c r="AT10" s="15">
        <f t="shared" si="9"/>
        <v>0.95724137691194944</v>
      </c>
      <c r="AU10" s="16">
        <f t="shared" si="10"/>
        <v>0.73575761254855954</v>
      </c>
      <c r="AV10" s="17">
        <f t="shared" si="11"/>
        <v>137.33803787133917</v>
      </c>
      <c r="AW10" s="17">
        <f t="shared" si="12"/>
        <v>186.66206849783015</v>
      </c>
      <c r="AX10" s="87"/>
      <c r="AY10" s="50">
        <f>IF((X$7/B$21)*(AX$3-AU10)*AT10*B10&lt;0,0,(X$7/B$21)*(AX$3-AU10)*AT10*B10)</f>
        <v>4839.813047345915</v>
      </c>
      <c r="AZ10" s="37">
        <f t="shared" si="15"/>
        <v>4839.8</v>
      </c>
      <c r="BA10" s="68">
        <f t="shared" si="16"/>
        <v>45.81915</v>
      </c>
      <c r="BB10" s="66">
        <v>4839.8</v>
      </c>
      <c r="BC10" s="66">
        <f t="shared" si="17"/>
        <v>4885.6191500000004</v>
      </c>
      <c r="BD10" s="79">
        <v>4885.6000000000004</v>
      </c>
    </row>
    <row r="11" spans="1:56" ht="19.5" customHeight="1" x14ac:dyDescent="0.25">
      <c r="A11" s="43" t="s">
        <v>57</v>
      </c>
      <c r="B11" s="57">
        <v>947</v>
      </c>
      <c r="C11" s="36"/>
      <c r="D11" s="56">
        <f t="shared" si="0"/>
        <v>947</v>
      </c>
      <c r="E11" s="55">
        <v>4082.1662857142846</v>
      </c>
      <c r="F11" s="55">
        <v>5838.5154285714279</v>
      </c>
      <c r="G11" s="55">
        <v>2787.8889999999992</v>
      </c>
      <c r="H11" s="82"/>
      <c r="I11" s="10">
        <f t="shared" si="18"/>
        <v>439.71310737914359</v>
      </c>
      <c r="J11" s="55">
        <v>10.429</v>
      </c>
      <c r="K11" s="55">
        <v>21.722999999999999</v>
      </c>
      <c r="L11" s="55">
        <v>42.790999999999997</v>
      </c>
      <c r="M11" s="82"/>
      <c r="N11" s="10">
        <f t="shared" si="19"/>
        <v>18.972266044938689</v>
      </c>
      <c r="O11" s="55">
        <v>102.833</v>
      </c>
      <c r="P11" s="55">
        <v>24.106999999999999</v>
      </c>
      <c r="Q11" s="82"/>
      <c r="R11" s="10">
        <f t="shared" si="20"/>
        <v>65.320214159302864</v>
      </c>
      <c r="S11" s="55">
        <v>508.33699999999999</v>
      </c>
      <c r="T11" s="55">
        <v>541.625</v>
      </c>
      <c r="U11" s="55">
        <v>62.587000000000003</v>
      </c>
      <c r="V11" s="82"/>
      <c r="W11" s="10">
        <f t="shared" si="21"/>
        <v>432.75087514410171</v>
      </c>
      <c r="X11" s="82"/>
      <c r="Y11" s="44">
        <v>0.8</v>
      </c>
      <c r="Z11" s="44">
        <v>4.2474224437189997E-4</v>
      </c>
      <c r="AA11" s="49">
        <f t="shared" si="1"/>
        <v>3.3979379549751998E-4</v>
      </c>
      <c r="AB11" s="11">
        <f t="shared" si="22"/>
        <v>956.75646272748691</v>
      </c>
      <c r="AC11" s="12">
        <f t="shared" si="23"/>
        <v>0.51724044632864874</v>
      </c>
      <c r="AD11" s="36">
        <f t="shared" si="3"/>
        <v>947</v>
      </c>
      <c r="AE11" s="51">
        <v>6432.1</v>
      </c>
      <c r="AF11" s="60">
        <v>8303</v>
      </c>
      <c r="AG11" s="61">
        <v>54</v>
      </c>
      <c r="AH11" s="61">
        <v>253.3</v>
      </c>
      <c r="AI11" s="61">
        <v>198</v>
      </c>
      <c r="AJ11" s="13">
        <f t="shared" si="13"/>
        <v>6.7920802534318909</v>
      </c>
      <c r="AK11" s="13">
        <f t="shared" si="4"/>
        <v>8.7676874340021111</v>
      </c>
      <c r="AL11" s="13">
        <f t="shared" si="5"/>
        <v>5.7022175290390706E-2</v>
      </c>
      <c r="AM11" s="13">
        <f t="shared" si="6"/>
        <v>0.26747624076029569</v>
      </c>
      <c r="AN11" s="13">
        <f t="shared" si="7"/>
        <v>0.20908130939809927</v>
      </c>
      <c r="AO11" s="14">
        <f t="shared" si="8"/>
        <v>0.15661128020373938</v>
      </c>
      <c r="AP11" s="14">
        <f t="shared" si="8"/>
        <v>0.25155883502499149</v>
      </c>
      <c r="AQ11" s="14">
        <f t="shared" si="8"/>
        <v>4.3841325751812306E-4</v>
      </c>
      <c r="AR11" s="14">
        <f t="shared" si="8"/>
        <v>4.6280876263867952E-3</v>
      </c>
      <c r="AS11" s="14">
        <f t="shared" si="8"/>
        <v>3.1559789735080703E-4</v>
      </c>
      <c r="AT11" s="15">
        <f t="shared" si="9"/>
        <v>0.4135522140099866</v>
      </c>
      <c r="AU11" s="16">
        <f t="shared" si="10"/>
        <v>1.2507258546949969</v>
      </c>
      <c r="AV11" s="17">
        <f t="shared" si="11"/>
        <v>489.82670267323033</v>
      </c>
      <c r="AW11" s="17">
        <f t="shared" si="12"/>
        <v>391.63394666745728</v>
      </c>
      <c r="AX11" s="87"/>
      <c r="AY11" s="50">
        <f t="shared" si="14"/>
        <v>9839.2221743240261</v>
      </c>
      <c r="AZ11" s="37">
        <f t="shared" si="15"/>
        <v>9839.2000000000007</v>
      </c>
      <c r="BA11" s="68">
        <f t="shared" si="16"/>
        <v>222.51659000000001</v>
      </c>
      <c r="BB11" s="66">
        <v>9839.2000000000007</v>
      </c>
      <c r="BC11" s="66">
        <f t="shared" si="17"/>
        <v>10061.71659</v>
      </c>
      <c r="BD11" s="79">
        <v>10061.700000000001</v>
      </c>
    </row>
    <row r="12" spans="1:56" ht="19.5" customHeight="1" x14ac:dyDescent="0.25">
      <c r="A12" s="43" t="s">
        <v>58</v>
      </c>
      <c r="B12" s="57">
        <v>841</v>
      </c>
      <c r="C12" s="36"/>
      <c r="D12" s="56">
        <f t="shared" si="0"/>
        <v>841</v>
      </c>
      <c r="E12" s="55">
        <v>5668.1701428571423</v>
      </c>
      <c r="F12" s="55">
        <v>6607.8107142857134</v>
      </c>
      <c r="G12" s="55">
        <v>3233.6981428571426</v>
      </c>
      <c r="H12" s="82"/>
      <c r="I12" s="10">
        <f t="shared" si="18"/>
        <v>530.73504844482738</v>
      </c>
      <c r="J12" s="55">
        <v>14.94</v>
      </c>
      <c r="K12" s="55">
        <v>6.12</v>
      </c>
      <c r="L12" s="55">
        <v>6.54</v>
      </c>
      <c r="M12" s="82"/>
      <c r="N12" s="10">
        <f t="shared" si="19"/>
        <v>5.2724599292688978</v>
      </c>
      <c r="O12" s="55">
        <v>57.19</v>
      </c>
      <c r="P12" s="55">
        <v>63.164999999999999</v>
      </c>
      <c r="Q12" s="82"/>
      <c r="R12" s="10">
        <f t="shared" si="20"/>
        <v>74.543670367689316</v>
      </c>
      <c r="S12" s="55">
        <v>307.38799999999998</v>
      </c>
      <c r="T12" s="55">
        <v>366.20299999999997</v>
      </c>
      <c r="U12" s="55">
        <v>153.71199999999999</v>
      </c>
      <c r="V12" s="82"/>
      <c r="W12" s="10">
        <f t="shared" si="21"/>
        <v>370.08059126539291</v>
      </c>
      <c r="X12" s="82"/>
      <c r="Y12" s="44">
        <v>0.8</v>
      </c>
      <c r="Z12" s="44">
        <v>6.2574649910779995E-4</v>
      </c>
      <c r="AA12" s="49">
        <f t="shared" si="1"/>
        <v>5.0059719928623994E-4</v>
      </c>
      <c r="AB12" s="11">
        <f t="shared" si="22"/>
        <v>980.63177000717837</v>
      </c>
      <c r="AC12" s="12">
        <f t="shared" si="23"/>
        <v>0.59696795045230056</v>
      </c>
      <c r="AD12" s="36">
        <f t="shared" si="3"/>
        <v>841</v>
      </c>
      <c r="AE12" s="51">
        <v>8023.3</v>
      </c>
      <c r="AF12" s="60">
        <v>4892.34</v>
      </c>
      <c r="AG12" s="61">
        <v>486</v>
      </c>
      <c r="AH12" s="61">
        <v>234.7</v>
      </c>
      <c r="AI12" s="61">
        <v>166</v>
      </c>
      <c r="AJ12" s="13">
        <f t="shared" si="13"/>
        <v>9.5401902497027358</v>
      </c>
      <c r="AK12" s="13">
        <f t="shared" si="4"/>
        <v>5.8172889417360283</v>
      </c>
      <c r="AL12" s="13">
        <f t="shared" si="5"/>
        <v>0.57788347205707491</v>
      </c>
      <c r="AM12" s="13">
        <f t="shared" si="6"/>
        <v>0.27907253269916765</v>
      </c>
      <c r="AN12" s="13">
        <f t="shared" si="7"/>
        <v>0.19738406658739596</v>
      </c>
      <c r="AO12" s="14">
        <f t="shared" si="8"/>
        <v>0.21997699565434908</v>
      </c>
      <c r="AP12" s="14">
        <f t="shared" si="8"/>
        <v>0.16690723069251795</v>
      </c>
      <c r="AQ12" s="14">
        <f t="shared" si="8"/>
        <v>4.4430394694732027E-3</v>
      </c>
      <c r="AR12" s="14">
        <f t="shared" si="8"/>
        <v>4.8287359347438672E-3</v>
      </c>
      <c r="AS12" s="14">
        <f t="shared" si="8"/>
        <v>2.9794148776313411E-4</v>
      </c>
      <c r="AT12" s="15">
        <f t="shared" si="9"/>
        <v>0.39645394323884725</v>
      </c>
      <c r="AU12" s="16">
        <f t="shared" si="10"/>
        <v>1.5057687295915023</v>
      </c>
      <c r="AV12" s="17">
        <f t="shared" si="11"/>
        <v>502.05004633038476</v>
      </c>
      <c r="AW12" s="17">
        <f t="shared" si="12"/>
        <v>333.41776626387053</v>
      </c>
      <c r="AX12" s="87"/>
      <c r="AY12" s="50">
        <f t="shared" si="14"/>
        <v>8243.7496455204673</v>
      </c>
      <c r="AZ12" s="37">
        <f t="shared" si="15"/>
        <v>8243.8000000000011</v>
      </c>
      <c r="BA12" s="68">
        <f t="shared" si="16"/>
        <v>197.60977</v>
      </c>
      <c r="BB12" s="66">
        <v>8243.7999999999993</v>
      </c>
      <c r="BC12" s="66">
        <f t="shared" si="17"/>
        <v>8441.4097699999984</v>
      </c>
      <c r="BD12" s="79">
        <v>8441.4</v>
      </c>
    </row>
    <row r="13" spans="1:56" ht="19.5" customHeight="1" x14ac:dyDescent="0.25">
      <c r="A13" s="43" t="s">
        <v>59</v>
      </c>
      <c r="B13" s="57">
        <v>224</v>
      </c>
      <c r="C13" s="36"/>
      <c r="D13" s="56">
        <f t="shared" si="0"/>
        <v>224</v>
      </c>
      <c r="E13" s="55">
        <v>1553.8171428571427</v>
      </c>
      <c r="F13" s="55">
        <v>2248.6064285714288</v>
      </c>
      <c r="G13" s="55">
        <v>2153.4549999999999</v>
      </c>
      <c r="H13" s="82"/>
      <c r="I13" s="10">
        <f t="shared" si="18"/>
        <v>232.36665929344116</v>
      </c>
      <c r="J13" s="55">
        <v>3.9079999999999999</v>
      </c>
      <c r="K13" s="55">
        <v>2.8809999999999998</v>
      </c>
      <c r="L13" s="55">
        <v>0</v>
      </c>
      <c r="M13" s="82"/>
      <c r="N13" s="10">
        <f t="shared" si="19"/>
        <v>0.99697945035849156</v>
      </c>
      <c r="O13" s="55">
        <v>3.2410000000000001</v>
      </c>
      <c r="P13" s="55">
        <v>8.4000000000000005E-2</v>
      </c>
      <c r="Q13" s="82"/>
      <c r="R13" s="10">
        <f t="shared" si="20"/>
        <v>1.539675909545142</v>
      </c>
      <c r="S13" s="55">
        <v>29.95</v>
      </c>
      <c r="T13" s="55">
        <v>32.515000000000001</v>
      </c>
      <c r="U13" s="55">
        <v>19.870999999999999</v>
      </c>
      <c r="V13" s="82"/>
      <c r="W13" s="10">
        <f t="shared" si="21"/>
        <v>39.06222739235303</v>
      </c>
      <c r="X13" s="82"/>
      <c r="Y13" s="44">
        <v>0.8</v>
      </c>
      <c r="Z13" s="44">
        <v>9.4381550066000002E-6</v>
      </c>
      <c r="AA13" s="49">
        <f t="shared" si="1"/>
        <v>7.5505240052800008E-6</v>
      </c>
      <c r="AB13" s="11">
        <f t="shared" si="22"/>
        <v>273.96554204569782</v>
      </c>
      <c r="AC13" s="12">
        <f t="shared" si="23"/>
        <v>0.62616527136872446</v>
      </c>
      <c r="AD13" s="36">
        <f t="shared" si="3"/>
        <v>224</v>
      </c>
      <c r="AE13" s="51">
        <v>4143.7</v>
      </c>
      <c r="AF13" s="60">
        <v>2933.33</v>
      </c>
      <c r="AG13" s="61">
        <v>1</v>
      </c>
      <c r="AH13" s="61">
        <v>0</v>
      </c>
      <c r="AI13" s="61">
        <v>101</v>
      </c>
      <c r="AJ13" s="13">
        <f t="shared" si="13"/>
        <v>18.498660714285712</v>
      </c>
      <c r="AK13" s="13">
        <f t="shared" si="4"/>
        <v>13.095223214285713</v>
      </c>
      <c r="AL13" s="13">
        <f t="shared" si="5"/>
        <v>4.464285714285714E-3</v>
      </c>
      <c r="AM13" s="13">
        <f t="shared" si="6"/>
        <v>0</v>
      </c>
      <c r="AN13" s="13">
        <f t="shared" si="7"/>
        <v>0.45089285714285715</v>
      </c>
      <c r="AO13" s="14">
        <f t="shared" si="8"/>
        <v>0.42654073986464808</v>
      </c>
      <c r="AP13" s="14">
        <f t="shared" si="8"/>
        <v>0.37572268867644326</v>
      </c>
      <c r="AQ13" s="14">
        <f t="shared" si="8"/>
        <v>3.4323524708140093E-5</v>
      </c>
      <c r="AR13" s="14">
        <f t="shared" si="8"/>
        <v>0</v>
      </c>
      <c r="AS13" s="14">
        <f t="shared" si="8"/>
        <v>6.8060047095762626E-4</v>
      </c>
      <c r="AT13" s="15">
        <f t="shared" si="9"/>
        <v>0.80297835253675709</v>
      </c>
      <c r="AU13" s="16">
        <f t="shared" si="10"/>
        <v>0.77980342731600749</v>
      </c>
      <c r="AV13" s="17">
        <f t="shared" si="11"/>
        <v>140.26102078659429</v>
      </c>
      <c r="AW13" s="17">
        <f t="shared" si="12"/>
        <v>179.8671509682336</v>
      </c>
      <c r="AX13" s="87"/>
      <c r="AY13" s="50">
        <f t="shared" si="14"/>
        <v>4651.2534417683291</v>
      </c>
      <c r="AZ13" s="37">
        <f t="shared" si="15"/>
        <v>4651.3</v>
      </c>
      <c r="BA13" s="68">
        <f t="shared" si="16"/>
        <v>52.633279999999999</v>
      </c>
      <c r="BB13" s="66">
        <v>4651.3</v>
      </c>
      <c r="BC13" s="66">
        <f t="shared" si="17"/>
        <v>4703.9332800000002</v>
      </c>
      <c r="BD13" s="79">
        <v>4703.8999999999996</v>
      </c>
    </row>
    <row r="14" spans="1:56" ht="19.5" customHeight="1" x14ac:dyDescent="0.25">
      <c r="A14" s="43" t="s">
        <v>60</v>
      </c>
      <c r="B14" s="57">
        <v>271</v>
      </c>
      <c r="C14" s="36"/>
      <c r="D14" s="56">
        <f t="shared" si="0"/>
        <v>271</v>
      </c>
      <c r="E14" s="55">
        <v>2094.7779999999998</v>
      </c>
      <c r="F14" s="55">
        <v>2421.6204285714289</v>
      </c>
      <c r="G14" s="55">
        <v>1375.6561428571426</v>
      </c>
      <c r="H14" s="82"/>
      <c r="I14" s="10">
        <f>H$7*((0.3*E14/E$21)+(0.35*F14/F$21)+(0.35*G14/G$21))</f>
        <v>206.18951445375663</v>
      </c>
      <c r="J14" s="55">
        <v>0</v>
      </c>
      <c r="K14" s="55">
        <v>0</v>
      </c>
      <c r="L14" s="55">
        <v>0</v>
      </c>
      <c r="M14" s="82"/>
      <c r="N14" s="10">
        <f t="shared" si="19"/>
        <v>0</v>
      </c>
      <c r="O14" s="55">
        <v>17.920000000000002</v>
      </c>
      <c r="P14" s="55">
        <v>5.0170000000000003</v>
      </c>
      <c r="Q14" s="82"/>
      <c r="R14" s="10">
        <f t="shared" si="20"/>
        <v>12.009655850975548</v>
      </c>
      <c r="S14" s="55">
        <v>196.285</v>
      </c>
      <c r="T14" s="55">
        <v>205.572</v>
      </c>
      <c r="U14" s="55">
        <v>141.376</v>
      </c>
      <c r="V14" s="82"/>
      <c r="W14" s="10">
        <f t="shared" si="21"/>
        <v>262.74232969768025</v>
      </c>
      <c r="X14" s="82"/>
      <c r="Y14" s="44">
        <v>0.8</v>
      </c>
      <c r="Z14" s="44">
        <v>8.5909813609499997E-5</v>
      </c>
      <c r="AA14" s="49">
        <f t="shared" si="1"/>
        <v>6.8727850887599997E-5</v>
      </c>
      <c r="AB14" s="11">
        <f t="shared" si="22"/>
        <v>480.94150000241245</v>
      </c>
      <c r="AC14" s="12">
        <f t="shared" si="23"/>
        <v>0.90858176207920338</v>
      </c>
      <c r="AD14" s="36">
        <f t="shared" si="3"/>
        <v>271</v>
      </c>
      <c r="AE14" s="51">
        <v>4290.3999999999996</v>
      </c>
      <c r="AF14" s="60">
        <v>3846</v>
      </c>
      <c r="AG14" s="61">
        <v>60</v>
      </c>
      <c r="AH14" s="61">
        <v>244</v>
      </c>
      <c r="AI14" s="61">
        <v>174</v>
      </c>
      <c r="AJ14" s="13">
        <f t="shared" si="13"/>
        <v>15.831734317343171</v>
      </c>
      <c r="AK14" s="13">
        <f t="shared" si="4"/>
        <v>14.191881918819188</v>
      </c>
      <c r="AL14" s="13">
        <f t="shared" si="5"/>
        <v>0.22140221402214022</v>
      </c>
      <c r="AM14" s="13">
        <f t="shared" si="6"/>
        <v>0.90036900369003692</v>
      </c>
      <c r="AN14" s="13">
        <f t="shared" si="7"/>
        <v>0.64206642066420661</v>
      </c>
      <c r="AO14" s="14">
        <f t="shared" si="8"/>
        <v>0.36504694979594599</v>
      </c>
      <c r="AP14" s="14">
        <f t="shared" si="8"/>
        <v>0.40718756333228295</v>
      </c>
      <c r="AQ14" s="14">
        <f t="shared" si="8"/>
        <v>1.7022441774073908E-3</v>
      </c>
      <c r="AR14" s="14">
        <f t="shared" si="8"/>
        <v>1.5578903880641861E-2</v>
      </c>
      <c r="AS14" s="14">
        <f t="shared" si="8"/>
        <v>9.6916751145535197E-4</v>
      </c>
      <c r="AT14" s="15">
        <f t="shared" si="9"/>
        <v>0.79048482869773351</v>
      </c>
      <c r="AU14" s="16">
        <f t="shared" si="10"/>
        <v>1.1493981023975197</v>
      </c>
      <c r="AV14" s="17">
        <f t="shared" si="11"/>
        <v>246.22565752346412</v>
      </c>
      <c r="AW14" s="17">
        <f t="shared" si="12"/>
        <v>214.22138857708578</v>
      </c>
      <c r="AX14" s="87"/>
      <c r="AY14" s="50">
        <f t="shared" si="14"/>
        <v>5415.9135052558295</v>
      </c>
      <c r="AZ14" s="37">
        <f t="shared" si="15"/>
        <v>5415.9000000000005</v>
      </c>
      <c r="BA14" s="68">
        <f t="shared" si="16"/>
        <v>63.676870000000001</v>
      </c>
      <c r="BB14" s="66">
        <v>5415.9</v>
      </c>
      <c r="BC14" s="66">
        <f t="shared" si="17"/>
        <v>5479.5768699999999</v>
      </c>
      <c r="BD14" s="79">
        <v>5479.6</v>
      </c>
    </row>
    <row r="15" spans="1:56" ht="19.5" customHeight="1" x14ac:dyDescent="0.25">
      <c r="A15" s="43" t="s">
        <v>61</v>
      </c>
      <c r="B15" s="57">
        <v>398</v>
      </c>
      <c r="C15" s="36"/>
      <c r="D15" s="56">
        <f t="shared" si="0"/>
        <v>398</v>
      </c>
      <c r="E15" s="55">
        <v>984.65114285714299</v>
      </c>
      <c r="F15" s="55">
        <v>993.11871428571419</v>
      </c>
      <c r="G15" s="55">
        <v>622.9041428571428</v>
      </c>
      <c r="H15" s="82"/>
      <c r="I15" s="10">
        <f t="shared" si="18"/>
        <v>91.425506928963301</v>
      </c>
      <c r="J15" s="55">
        <v>378.02100000000002</v>
      </c>
      <c r="K15" s="55">
        <v>349.08</v>
      </c>
      <c r="L15" s="55">
        <v>365.34</v>
      </c>
      <c r="M15" s="82"/>
      <c r="N15" s="10">
        <f t="shared" si="19"/>
        <v>228.4576530387246</v>
      </c>
      <c r="O15" s="55">
        <v>7.9059999999999997</v>
      </c>
      <c r="P15" s="55">
        <v>10.393000000000001</v>
      </c>
      <c r="Q15" s="82"/>
      <c r="R15" s="10">
        <f t="shared" si="20"/>
        <v>11.580711687964232</v>
      </c>
      <c r="S15" s="55">
        <v>85.968000000000004</v>
      </c>
      <c r="T15" s="55">
        <v>117.774</v>
      </c>
      <c r="U15" s="55">
        <v>-3.5720000000000001</v>
      </c>
      <c r="V15" s="82"/>
      <c r="W15" s="10">
        <f t="shared" si="21"/>
        <v>70.081672265741844</v>
      </c>
      <c r="X15" s="82"/>
      <c r="Y15" s="44">
        <v>0.8</v>
      </c>
      <c r="Z15" s="44">
        <v>2.5856271159769998E-4</v>
      </c>
      <c r="AA15" s="49">
        <f t="shared" si="1"/>
        <v>2.0685016927816E-4</v>
      </c>
      <c r="AB15" s="11">
        <f t="shared" si="22"/>
        <v>401.54554392139403</v>
      </c>
      <c r="AC15" s="12">
        <f t="shared" si="23"/>
        <v>0.51652671814762463</v>
      </c>
      <c r="AD15" s="36">
        <f t="shared" si="3"/>
        <v>398</v>
      </c>
      <c r="AE15" s="51">
        <v>4550.8999999999996</v>
      </c>
      <c r="AF15" s="60">
        <v>3735</v>
      </c>
      <c r="AG15" s="61">
        <v>0</v>
      </c>
      <c r="AH15" s="61">
        <v>4</v>
      </c>
      <c r="AI15" s="61">
        <v>4</v>
      </c>
      <c r="AJ15" s="13">
        <f t="shared" si="13"/>
        <v>11.434422110552763</v>
      </c>
      <c r="AK15" s="13">
        <f t="shared" si="4"/>
        <v>9.3844221105527641</v>
      </c>
      <c r="AL15" s="13">
        <f t="shared" si="5"/>
        <v>0</v>
      </c>
      <c r="AM15" s="13">
        <f t="shared" si="6"/>
        <v>1.0050251256281407E-2</v>
      </c>
      <c r="AN15" s="13">
        <f t="shared" si="7"/>
        <v>1.0050251256281407E-2</v>
      </c>
      <c r="AO15" s="14">
        <f t="shared" si="8"/>
        <v>0.26365405270627945</v>
      </c>
      <c r="AP15" s="14">
        <f t="shared" si="8"/>
        <v>0.26925392941794696</v>
      </c>
      <c r="AQ15" s="14">
        <f t="shared" si="8"/>
        <v>0</v>
      </c>
      <c r="AR15" s="14">
        <f t="shared" si="8"/>
        <v>1.7389747720792257E-4</v>
      </c>
      <c r="AS15" s="14">
        <f t="shared" si="8"/>
        <v>1.5170357280910322E-5</v>
      </c>
      <c r="AT15" s="15">
        <f t="shared" si="9"/>
        <v>0.53309704995871532</v>
      </c>
      <c r="AU15" s="16">
        <f t="shared" si="10"/>
        <v>0.96891685704812291</v>
      </c>
      <c r="AV15" s="17">
        <f t="shared" si="11"/>
        <v>205.57763382275459</v>
      </c>
      <c r="AW15" s="17">
        <f t="shared" si="12"/>
        <v>212.17262588356868</v>
      </c>
      <c r="AX15" s="87"/>
      <c r="AY15" s="50">
        <f t="shared" si="14"/>
        <v>5423.9540657033522</v>
      </c>
      <c r="AZ15" s="37">
        <f t="shared" si="15"/>
        <v>5424</v>
      </c>
      <c r="BA15" s="68">
        <f t="shared" si="16"/>
        <v>93.518060000000006</v>
      </c>
      <c r="BB15" s="66">
        <v>5424</v>
      </c>
      <c r="BC15" s="66">
        <f t="shared" si="17"/>
        <v>5517.5180600000003</v>
      </c>
      <c r="BD15" s="79">
        <v>5517.5</v>
      </c>
    </row>
    <row r="16" spans="1:56" ht="19.5" customHeight="1" x14ac:dyDescent="0.25">
      <c r="A16" s="43" t="s">
        <v>62</v>
      </c>
      <c r="B16" s="57">
        <v>546</v>
      </c>
      <c r="C16" s="36"/>
      <c r="D16" s="56">
        <f t="shared" si="0"/>
        <v>546</v>
      </c>
      <c r="E16" s="55">
        <v>1167.627857142857</v>
      </c>
      <c r="F16" s="55">
        <v>1311.0729999999999</v>
      </c>
      <c r="G16" s="55">
        <v>640.08628571428574</v>
      </c>
      <c r="H16" s="82"/>
      <c r="I16" s="10">
        <f t="shared" si="18"/>
        <v>106.38279109292536</v>
      </c>
      <c r="J16" s="55">
        <v>2.58</v>
      </c>
      <c r="K16" s="55">
        <v>3.855</v>
      </c>
      <c r="L16" s="55">
        <v>1.98</v>
      </c>
      <c r="M16" s="82"/>
      <c r="N16" s="10">
        <f t="shared" si="19"/>
        <v>1.6040706246637471</v>
      </c>
      <c r="O16" s="55">
        <v>54.631</v>
      </c>
      <c r="P16" s="55">
        <v>50.14</v>
      </c>
      <c r="Q16" s="82"/>
      <c r="R16" s="10">
        <f t="shared" si="20"/>
        <v>63.375194076862648</v>
      </c>
      <c r="S16" s="55">
        <v>230.732</v>
      </c>
      <c r="T16" s="55">
        <v>256.94799999999998</v>
      </c>
      <c r="U16" s="55">
        <v>23.213000000000001</v>
      </c>
      <c r="V16" s="82"/>
      <c r="W16" s="10">
        <f t="shared" si="21"/>
        <v>195.77737349766457</v>
      </c>
      <c r="X16" s="82"/>
      <c r="Y16" s="44">
        <v>0.8</v>
      </c>
      <c r="Z16" s="44">
        <v>5.0976001317600002E-5</v>
      </c>
      <c r="AA16" s="49">
        <f t="shared" si="1"/>
        <v>4.0780801054080001E-5</v>
      </c>
      <c r="AB16" s="11">
        <f t="shared" si="22"/>
        <v>367.13942929211635</v>
      </c>
      <c r="AC16" s="12">
        <f t="shared" si="23"/>
        <v>0.34425435108487074</v>
      </c>
      <c r="AD16" s="36">
        <f t="shared" si="3"/>
        <v>546</v>
      </c>
      <c r="AE16" s="51">
        <v>4385.8</v>
      </c>
      <c r="AF16" s="60">
        <v>3845.33</v>
      </c>
      <c r="AG16" s="61">
        <v>40</v>
      </c>
      <c r="AH16" s="61">
        <v>232</v>
      </c>
      <c r="AI16" s="61">
        <v>20</v>
      </c>
      <c r="AJ16" s="13">
        <f t="shared" si="13"/>
        <v>8.0326007326007325</v>
      </c>
      <c r="AK16" s="13">
        <f t="shared" si="4"/>
        <v>7.0427289377289375</v>
      </c>
      <c r="AL16" s="13">
        <f t="shared" si="5"/>
        <v>7.3260073260073263E-2</v>
      </c>
      <c r="AM16" s="13">
        <f t="shared" si="6"/>
        <v>0.4249084249084249</v>
      </c>
      <c r="AN16" s="13">
        <f t="shared" si="7"/>
        <v>3.6630036630036632E-2</v>
      </c>
      <c r="AO16" s="14">
        <f t="shared" si="8"/>
        <v>0.18521510894434109</v>
      </c>
      <c r="AP16" s="14">
        <f t="shared" si="8"/>
        <v>0.20206704450949989</v>
      </c>
      <c r="AQ16" s="14">
        <f t="shared" si="8"/>
        <v>5.6325784136435032E-4</v>
      </c>
      <c r="AR16" s="14">
        <f t="shared" si="8"/>
        <v>7.352105062028727E-3</v>
      </c>
      <c r="AS16" s="14">
        <f t="shared" si="8"/>
        <v>5.5291228917603558E-5</v>
      </c>
      <c r="AT16" s="15">
        <f t="shared" si="9"/>
        <v>0.39525280758615167</v>
      </c>
      <c r="AU16" s="16">
        <f t="shared" si="10"/>
        <v>0.87097256357840036</v>
      </c>
      <c r="AV16" s="17">
        <f t="shared" si="11"/>
        <v>187.96287569233942</v>
      </c>
      <c r="AW16" s="17">
        <f t="shared" si="12"/>
        <v>215.80803294203881</v>
      </c>
      <c r="AX16" s="87"/>
      <c r="AY16" s="50">
        <f t="shared" si="14"/>
        <v>5549.91816940235</v>
      </c>
      <c r="AZ16" s="37">
        <f t="shared" si="15"/>
        <v>5549.9000000000005</v>
      </c>
      <c r="BA16" s="68">
        <f t="shared" si="16"/>
        <v>128.29362</v>
      </c>
      <c r="BB16" s="66">
        <v>5549.9</v>
      </c>
      <c r="BC16" s="66">
        <f t="shared" si="17"/>
        <v>5678.19362</v>
      </c>
      <c r="BD16" s="79">
        <v>5678.2</v>
      </c>
    </row>
    <row r="17" spans="1:56" ht="19.5" customHeight="1" x14ac:dyDescent="0.25">
      <c r="A17" s="43" t="s">
        <v>63</v>
      </c>
      <c r="B17" s="57">
        <v>1510</v>
      </c>
      <c r="C17" s="36"/>
      <c r="D17" s="56">
        <f t="shared" si="0"/>
        <v>1510</v>
      </c>
      <c r="E17" s="55">
        <v>5671.7727142857138</v>
      </c>
      <c r="F17" s="55">
        <v>6846.2005714285706</v>
      </c>
      <c r="G17" s="55">
        <v>3447.6918571428569</v>
      </c>
      <c r="H17" s="82"/>
      <c r="I17" s="10">
        <f t="shared" si="18"/>
        <v>550.15168095479635</v>
      </c>
      <c r="J17" s="55">
        <v>185.465</v>
      </c>
      <c r="K17" s="55">
        <v>316.81099999999998</v>
      </c>
      <c r="L17" s="55">
        <v>24.033999999999999</v>
      </c>
      <c r="M17" s="82"/>
      <c r="N17" s="10">
        <f t="shared" si="19"/>
        <v>81.72182664553678</v>
      </c>
      <c r="O17" s="55">
        <v>114.51300000000001</v>
      </c>
      <c r="P17" s="55">
        <v>33.843000000000004</v>
      </c>
      <c r="Q17" s="82"/>
      <c r="R17" s="10">
        <f t="shared" si="20"/>
        <v>78.114081609252835</v>
      </c>
      <c r="S17" s="55">
        <v>713.83</v>
      </c>
      <c r="T17" s="55">
        <v>1009.639</v>
      </c>
      <c r="U17" s="55">
        <v>62.505000000000003</v>
      </c>
      <c r="V17" s="82"/>
      <c r="W17" s="10">
        <f t="shared" si="21"/>
        <v>668.45171248549184</v>
      </c>
      <c r="X17" s="82"/>
      <c r="Y17" s="44">
        <v>0.8</v>
      </c>
      <c r="Z17" s="44">
        <v>4.7481117983615003E-3</v>
      </c>
      <c r="AA17" s="49">
        <f t="shared" si="1"/>
        <v>3.7984894386892004E-3</v>
      </c>
      <c r="AB17" s="11">
        <f t="shared" si="22"/>
        <v>1378.4393016950778</v>
      </c>
      <c r="AC17" s="12">
        <f t="shared" si="23"/>
        <v>0.46736022866290106</v>
      </c>
      <c r="AD17" s="36">
        <f t="shared" si="3"/>
        <v>1510</v>
      </c>
      <c r="AE17" s="51">
        <v>9592</v>
      </c>
      <c r="AF17" s="60">
        <v>13249</v>
      </c>
      <c r="AG17" s="61">
        <v>97</v>
      </c>
      <c r="AH17" s="61">
        <v>889.3</v>
      </c>
      <c r="AI17" s="61">
        <v>175</v>
      </c>
      <c r="AJ17" s="13">
        <f t="shared" si="13"/>
        <v>6.3523178807947023</v>
      </c>
      <c r="AK17" s="13">
        <f t="shared" si="4"/>
        <v>8.774172185430464</v>
      </c>
      <c r="AL17" s="13">
        <f t="shared" si="5"/>
        <v>6.4238410596026488E-2</v>
      </c>
      <c r="AM17" s="13">
        <f t="shared" si="6"/>
        <v>0.58894039735099335</v>
      </c>
      <c r="AN17" s="13">
        <f t="shared" si="7"/>
        <v>0.11589403973509933</v>
      </c>
      <c r="AO17" s="14">
        <f t="shared" si="8"/>
        <v>0.14647127219524381</v>
      </c>
      <c r="AP17" s="14">
        <f t="shared" si="8"/>
        <v>0.25174489281126894</v>
      </c>
      <c r="AQ17" s="14">
        <f t="shared" si="8"/>
        <v>4.938950628201775E-4</v>
      </c>
      <c r="AR17" s="14">
        <f t="shared" si="8"/>
        <v>1.0190317307854338E-2</v>
      </c>
      <c r="AS17" s="14">
        <f t="shared" si="8"/>
        <v>1.7493632195619268E-4</v>
      </c>
      <c r="AT17" s="15">
        <f t="shared" si="9"/>
        <v>0.40907531369914346</v>
      </c>
      <c r="AU17" s="16">
        <f t="shared" si="10"/>
        <v>1.142479668197782</v>
      </c>
      <c r="AV17" s="17">
        <f t="shared" si="11"/>
        <v>705.71394528098051</v>
      </c>
      <c r="AW17" s="17">
        <f t="shared" si="12"/>
        <v>617.70372368570668</v>
      </c>
      <c r="AX17" s="87"/>
      <c r="AY17" s="50">
        <f t="shared" si="14"/>
        <v>15623.372161414212</v>
      </c>
      <c r="AZ17" s="37">
        <f t="shared" si="15"/>
        <v>15623.300000000001</v>
      </c>
      <c r="BA17" s="68">
        <f t="shared" si="16"/>
        <v>354.80470000000003</v>
      </c>
      <c r="BB17" s="66">
        <v>15623.3</v>
      </c>
      <c r="BC17" s="66">
        <f t="shared" si="17"/>
        <v>15978.1047</v>
      </c>
      <c r="BD17" s="79">
        <v>15978.1</v>
      </c>
    </row>
    <row r="18" spans="1:56" ht="19.5" customHeight="1" x14ac:dyDescent="0.25">
      <c r="A18" s="43" t="s">
        <v>64</v>
      </c>
      <c r="B18" s="57">
        <v>1216</v>
      </c>
      <c r="C18" s="36"/>
      <c r="D18" s="56">
        <f t="shared" si="0"/>
        <v>1216</v>
      </c>
      <c r="E18" s="55">
        <v>12567.409857142857</v>
      </c>
      <c r="F18" s="55">
        <v>14291.478714285713</v>
      </c>
      <c r="G18" s="55">
        <v>7357.033428571428</v>
      </c>
      <c r="H18" s="82"/>
      <c r="I18" s="10">
        <f t="shared" si="18"/>
        <v>1177.6153639270487</v>
      </c>
      <c r="J18" s="55">
        <v>4.3920000000000003</v>
      </c>
      <c r="K18" s="55">
        <v>2.6920000000000002</v>
      </c>
      <c r="L18" s="55">
        <v>2.1230000000000002</v>
      </c>
      <c r="M18" s="82"/>
      <c r="N18" s="10">
        <f t="shared" si="19"/>
        <v>1.7476297501683615</v>
      </c>
      <c r="O18" s="55">
        <v>252.93100000000001</v>
      </c>
      <c r="P18" s="55">
        <v>108.57899999999999</v>
      </c>
      <c r="Q18" s="82"/>
      <c r="R18" s="10">
        <f t="shared" si="20"/>
        <v>198.51616134588932</v>
      </c>
      <c r="S18" s="55">
        <v>565.47730000000001</v>
      </c>
      <c r="T18" s="55">
        <v>514.13928999999996</v>
      </c>
      <c r="U18" s="55">
        <v>163.56399999999999</v>
      </c>
      <c r="V18" s="82"/>
      <c r="W18" s="10">
        <f t="shared" si="21"/>
        <v>529.99268627000208</v>
      </c>
      <c r="X18" s="82"/>
      <c r="Y18" s="44">
        <v>0.8</v>
      </c>
      <c r="Z18" s="44">
        <v>1.9137806412081E-3</v>
      </c>
      <c r="AA18" s="49">
        <f t="shared" si="1"/>
        <v>1.53102451296648E-3</v>
      </c>
      <c r="AB18" s="11">
        <f t="shared" si="22"/>
        <v>1907.8718412931084</v>
      </c>
      <c r="AC18" s="12">
        <f t="shared" si="23"/>
        <v>0.80326098890101472</v>
      </c>
      <c r="AD18" s="36">
        <f t="shared" si="3"/>
        <v>1216</v>
      </c>
      <c r="AE18" s="51">
        <v>7093.9</v>
      </c>
      <c r="AF18" s="60">
        <v>5815.67</v>
      </c>
      <c r="AG18" s="61">
        <v>193</v>
      </c>
      <c r="AH18" s="61">
        <v>878.7</v>
      </c>
      <c r="AI18" s="61">
        <v>233</v>
      </c>
      <c r="AJ18" s="13">
        <f t="shared" si="13"/>
        <v>5.8337993421052632</v>
      </c>
      <c r="AK18" s="13">
        <f t="shared" si="4"/>
        <v>4.7826233552631576</v>
      </c>
      <c r="AL18" s="13">
        <f t="shared" si="5"/>
        <v>0.15871710526315788</v>
      </c>
      <c r="AM18" s="13">
        <f t="shared" si="6"/>
        <v>0.72261513157894741</v>
      </c>
      <c r="AN18" s="13">
        <f t="shared" si="7"/>
        <v>0.19161184210526316</v>
      </c>
      <c r="AO18" s="14">
        <f t="shared" si="8"/>
        <v>0.13451531038037953</v>
      </c>
      <c r="AP18" s="14">
        <f t="shared" si="8"/>
        <v>0.13722103675223538</v>
      </c>
      <c r="AQ18" s="14">
        <f t="shared" si="8"/>
        <v>1.2202916284394017E-3</v>
      </c>
      <c r="AR18" s="14">
        <f t="shared" si="8"/>
        <v>1.2503264363198072E-2</v>
      </c>
      <c r="AS18" s="14">
        <f t="shared" si="8"/>
        <v>2.8922860034702669E-4</v>
      </c>
      <c r="AT18" s="15">
        <f t="shared" si="9"/>
        <v>0.28574913172459943</v>
      </c>
      <c r="AU18" s="16">
        <f t="shared" si="10"/>
        <v>2.8110706200681834</v>
      </c>
      <c r="AV18" s="17">
        <f t="shared" si="11"/>
        <v>976.76536250363392</v>
      </c>
      <c r="AW18" s="17">
        <f t="shared" si="12"/>
        <v>347.47094417711293</v>
      </c>
      <c r="AX18" s="87"/>
      <c r="AY18" s="50">
        <f t="shared" si="14"/>
        <v>7882.4882244187484</v>
      </c>
      <c r="AZ18" s="37">
        <f t="shared" si="15"/>
        <v>7882.5</v>
      </c>
      <c r="BA18" s="68">
        <f t="shared" si="16"/>
        <v>285.72352000000001</v>
      </c>
      <c r="BB18" s="66">
        <v>7882.5</v>
      </c>
      <c r="BC18" s="66">
        <f t="shared" si="17"/>
        <v>8168.2235199999996</v>
      </c>
      <c r="BD18" s="79">
        <v>8168.2</v>
      </c>
    </row>
    <row r="19" spans="1:56" ht="19.5" customHeight="1" x14ac:dyDescent="0.25">
      <c r="A19" s="43" t="s">
        <v>65</v>
      </c>
      <c r="B19" s="57">
        <v>1330</v>
      </c>
      <c r="C19" s="36"/>
      <c r="D19" s="56">
        <f t="shared" si="0"/>
        <v>1330</v>
      </c>
      <c r="E19" s="55">
        <v>7478.1579999999994</v>
      </c>
      <c r="F19" s="55">
        <v>9700.4934285714262</v>
      </c>
      <c r="G19" s="55">
        <v>5491.1807142857142</v>
      </c>
      <c r="H19" s="82"/>
      <c r="I19" s="10">
        <f t="shared" si="18"/>
        <v>800.00960513592861</v>
      </c>
      <c r="J19" s="55">
        <v>22.268999999999998</v>
      </c>
      <c r="K19" s="55">
        <v>21.443999999999999</v>
      </c>
      <c r="L19" s="55">
        <v>18</v>
      </c>
      <c r="M19" s="82"/>
      <c r="N19" s="10">
        <f t="shared" si="19"/>
        <v>12.414100812726367</v>
      </c>
      <c r="O19" s="55">
        <v>87.052999999999997</v>
      </c>
      <c r="P19" s="55">
        <v>91.018000000000001</v>
      </c>
      <c r="Q19" s="82"/>
      <c r="R19" s="10">
        <f t="shared" si="20"/>
        <v>109.52823493181019</v>
      </c>
      <c r="S19" s="55">
        <v>612.79899999999998</v>
      </c>
      <c r="T19" s="55">
        <v>695.38099999999997</v>
      </c>
      <c r="U19" s="55">
        <v>137.679</v>
      </c>
      <c r="V19" s="82"/>
      <c r="W19" s="10">
        <f t="shared" si="21"/>
        <v>587.01285949052567</v>
      </c>
      <c r="X19" s="82"/>
      <c r="Y19" s="44">
        <v>0.8</v>
      </c>
      <c r="Z19" s="44">
        <v>3.2141301769870998E-3</v>
      </c>
      <c r="AA19" s="49">
        <f t="shared" si="1"/>
        <v>2.57130414158968E-3</v>
      </c>
      <c r="AB19" s="11">
        <f t="shared" si="22"/>
        <v>1508.9648003709908</v>
      </c>
      <c r="AC19" s="12">
        <f t="shared" si="23"/>
        <v>0.58085605435817544</v>
      </c>
      <c r="AD19" s="36">
        <f t="shared" si="3"/>
        <v>1330</v>
      </c>
      <c r="AE19" s="51">
        <v>9525.2999999999993</v>
      </c>
      <c r="AF19" s="60">
        <v>10130</v>
      </c>
      <c r="AG19" s="61">
        <v>34</v>
      </c>
      <c r="AH19" s="62">
        <v>1142.7</v>
      </c>
      <c r="AI19" s="62">
        <v>502</v>
      </c>
      <c r="AJ19" s="13">
        <f t="shared" si="13"/>
        <v>7.1618796992481197</v>
      </c>
      <c r="AK19" s="13">
        <f t="shared" si="4"/>
        <v>7.6165413533834583</v>
      </c>
      <c r="AL19" s="13">
        <f t="shared" si="5"/>
        <v>2.5563909774436091E-2</v>
      </c>
      <c r="AM19" s="13">
        <f t="shared" si="6"/>
        <v>0.85917293233082714</v>
      </c>
      <c r="AN19" s="13">
        <f t="shared" si="7"/>
        <v>0.37744360902255641</v>
      </c>
      <c r="AO19" s="14">
        <f t="shared" si="8"/>
        <v>0.1651380882606156</v>
      </c>
      <c r="AP19" s="14">
        <f t="shared" si="8"/>
        <v>0.21853063127527927</v>
      </c>
      <c r="AQ19" s="14">
        <f t="shared" si="8"/>
        <v>1.9654734148661276E-4</v>
      </c>
      <c r="AR19" s="14">
        <f t="shared" si="8"/>
        <v>1.4866096539057568E-2</v>
      </c>
      <c r="AS19" s="14">
        <f t="shared" si="8"/>
        <v>5.6973246302570652E-4</v>
      </c>
      <c r="AT19" s="15">
        <f t="shared" si="9"/>
        <v>0.39930109587946477</v>
      </c>
      <c r="AU19" s="16">
        <f t="shared" si="10"/>
        <v>1.454681843732069</v>
      </c>
      <c r="AV19" s="17">
        <f t="shared" si="11"/>
        <v>772.53855229637338</v>
      </c>
      <c r="AW19" s="17">
        <f t="shared" si="12"/>
        <v>531.07045751968815</v>
      </c>
      <c r="AX19" s="87"/>
      <c r="AY19" s="50">
        <f t="shared" si="14"/>
        <v>13173.104291523468</v>
      </c>
      <c r="AZ19" s="37">
        <f t="shared" si="15"/>
        <v>13173.1</v>
      </c>
      <c r="BA19" s="68">
        <f t="shared" si="16"/>
        <v>312.51010000000002</v>
      </c>
      <c r="BB19" s="66">
        <v>13173.1</v>
      </c>
      <c r="BC19" s="66">
        <f t="shared" si="17"/>
        <v>13485.6101</v>
      </c>
      <c r="BD19" s="79">
        <v>13485.6</v>
      </c>
    </row>
    <row r="20" spans="1:56" ht="19.5" customHeight="1" x14ac:dyDescent="0.25">
      <c r="A20" s="43" t="s">
        <v>66</v>
      </c>
      <c r="B20" s="58">
        <v>6868</v>
      </c>
      <c r="C20" s="58">
        <v>6868</v>
      </c>
      <c r="D20" s="56">
        <f t="shared" si="0"/>
        <v>0</v>
      </c>
      <c r="E20" s="55">
        <v>109275.004</v>
      </c>
      <c r="F20" s="55">
        <v>117590.80839892149</v>
      </c>
      <c r="G20" s="55">
        <v>52285.9542</v>
      </c>
      <c r="H20" s="83"/>
      <c r="I20" s="10">
        <f t="shared" si="18"/>
        <v>9363.6981718401057</v>
      </c>
      <c r="J20" s="55">
        <v>356.34100000000001</v>
      </c>
      <c r="K20" s="55">
        <v>438.29500000000002</v>
      </c>
      <c r="L20" s="55">
        <v>6.5469999999999997</v>
      </c>
      <c r="M20" s="83"/>
      <c r="N20" s="10">
        <f t="shared" si="19"/>
        <v>118.83153086283937</v>
      </c>
      <c r="O20" s="55">
        <v>692.12599999999998</v>
      </c>
      <c r="P20" s="55">
        <v>616.798</v>
      </c>
      <c r="Q20" s="83"/>
      <c r="R20" s="10">
        <f t="shared" si="20"/>
        <v>788.75134170620265</v>
      </c>
      <c r="S20" s="55">
        <v>2323.4060600000003</v>
      </c>
      <c r="T20" s="55">
        <v>3305.268</v>
      </c>
      <c r="U20" s="55">
        <v>3731.0749999999998</v>
      </c>
      <c r="V20" s="83"/>
      <c r="W20" s="10">
        <f t="shared" si="21"/>
        <v>5095.7532783959077</v>
      </c>
      <c r="X20" s="83"/>
      <c r="Y20" s="44">
        <v>1</v>
      </c>
      <c r="Z20" s="44">
        <v>0.40891493283645503</v>
      </c>
      <c r="AA20" s="49">
        <f t="shared" si="1"/>
        <v>0.40891493283645503</v>
      </c>
      <c r="AB20" s="11">
        <f t="shared" si="22"/>
        <v>15367.034322805055</v>
      </c>
      <c r="AC20" s="12">
        <f t="shared" si="23"/>
        <v>1.4318939037965246</v>
      </c>
      <c r="AD20" s="36">
        <f t="shared" si="3"/>
        <v>6868</v>
      </c>
      <c r="AE20" s="60">
        <v>25247</v>
      </c>
      <c r="AF20" s="60">
        <v>800</v>
      </c>
      <c r="AG20" s="63">
        <v>6253</v>
      </c>
      <c r="AH20" s="64">
        <v>2500</v>
      </c>
      <c r="AI20" s="65">
        <v>9100</v>
      </c>
      <c r="AJ20" s="13">
        <f t="shared" si="13"/>
        <v>3.6760337798485732</v>
      </c>
      <c r="AK20" s="13">
        <f t="shared" si="4"/>
        <v>0.11648223645894001</v>
      </c>
      <c r="AL20" s="13">
        <f t="shared" si="5"/>
        <v>0.91045428072218981</v>
      </c>
      <c r="AM20" s="13">
        <f t="shared" si="6"/>
        <v>0.36400698893418754</v>
      </c>
      <c r="AN20" s="13">
        <f t="shared" si="7"/>
        <v>1.3249854397204426</v>
      </c>
      <c r="AO20" s="14">
        <f t="shared" si="8"/>
        <v>8.4761712885147833E-2</v>
      </c>
      <c r="AP20" s="14">
        <f t="shared" si="8"/>
        <v>3.3420597991529045E-3</v>
      </c>
      <c r="AQ20" s="14">
        <f t="shared" si="8"/>
        <v>7.0000000000000001E-3</v>
      </c>
      <c r="AR20" s="14">
        <f t="shared" si="8"/>
        <v>6.2983397576398857E-3</v>
      </c>
      <c r="AS20" s="14">
        <f t="shared" si="8"/>
        <v>2.0000000000000365E-3</v>
      </c>
      <c r="AT20" s="15">
        <f t="shared" si="9"/>
        <v>0.10340211244194067</v>
      </c>
      <c r="AU20" s="16">
        <f t="shared" si="10"/>
        <v>13.847820610053008</v>
      </c>
      <c r="AV20" s="17">
        <f t="shared" si="11"/>
        <v>9834.2473312745315</v>
      </c>
      <c r="AW20" s="17">
        <f t="shared" si="12"/>
        <v>710.16570825124847</v>
      </c>
      <c r="AX20" s="87"/>
      <c r="AY20" s="50">
        <f t="shared" si="14"/>
        <v>3862.7662420739675</v>
      </c>
      <c r="AZ20" s="37">
        <f t="shared" si="15"/>
        <v>3862.7</v>
      </c>
      <c r="BA20" s="68">
        <f t="shared" si="16"/>
        <v>1613.77396</v>
      </c>
      <c r="BB20" s="66">
        <v>3862.7</v>
      </c>
      <c r="BC20" s="66">
        <f t="shared" si="17"/>
        <v>5476.4739599999994</v>
      </c>
      <c r="BD20" s="79">
        <v>5476.5</v>
      </c>
    </row>
    <row r="21" spans="1:56" s="1" customFormat="1" x14ac:dyDescent="0.25">
      <c r="A21" s="18" t="s">
        <v>52</v>
      </c>
      <c r="B21" s="38">
        <f t="shared" ref="B21:G21" si="24">SUM(B7:B20)</f>
        <v>16705</v>
      </c>
      <c r="C21" s="38">
        <f t="shared" si="24"/>
        <v>6868</v>
      </c>
      <c r="D21" s="38">
        <f t="shared" si="24"/>
        <v>9837</v>
      </c>
      <c r="E21" s="21">
        <f t="shared" si="24"/>
        <v>166597.47914285713</v>
      </c>
      <c r="F21" s="21">
        <f t="shared" si="24"/>
        <v>186986.39982749289</v>
      </c>
      <c r="G21" s="21">
        <f t="shared" si="24"/>
        <v>89741.175914285704</v>
      </c>
      <c r="H21" s="19"/>
      <c r="I21" s="18"/>
      <c r="J21" s="21">
        <f>SUM(J7:J20)</f>
        <v>1096.2750000000001</v>
      </c>
      <c r="K21" s="21">
        <f>SUM(K7:K20)</f>
        <v>1282.731</v>
      </c>
      <c r="L21" s="21">
        <f>SUM(L7:L20)</f>
        <v>564.54200000000003</v>
      </c>
      <c r="M21" s="19"/>
      <c r="N21" s="18"/>
      <c r="O21" s="21">
        <f>SUM(O7:O20)</f>
        <v>1578.415</v>
      </c>
      <c r="P21" s="21">
        <f>SUM(P7:P20)</f>
        <v>1143.2660000000001</v>
      </c>
      <c r="Q21" s="19"/>
      <c r="R21" s="20"/>
      <c r="S21" s="21">
        <f>SUM(S7:S20)</f>
        <v>6665.0913599999994</v>
      </c>
      <c r="T21" s="21">
        <f>SUM(T7:T20)</f>
        <v>9478.1772899999996</v>
      </c>
      <c r="U21" s="21">
        <f>SUM(U7:U20)</f>
        <v>3765.4169999999999</v>
      </c>
      <c r="V21" s="19"/>
      <c r="W21" s="18"/>
      <c r="X21" s="19"/>
      <c r="Y21" s="19"/>
      <c r="Z21" s="19"/>
      <c r="AA21" s="18"/>
      <c r="AB21" s="21">
        <f>SUM(AB7:AB20)</f>
        <v>26103.3</v>
      </c>
      <c r="AC21" s="18"/>
      <c r="AD21" s="38">
        <f t="shared" ref="AD21:AI21" si="25">SUM(AD7:AD20)</f>
        <v>16705</v>
      </c>
      <c r="AE21" s="22">
        <f t="shared" si="25"/>
        <v>108731.09999999999</v>
      </c>
      <c r="AF21" s="22">
        <f t="shared" si="25"/>
        <v>79709.710000000006</v>
      </c>
      <c r="AG21" s="22">
        <f>SUM(AG7:AG20)</f>
        <v>7323</v>
      </c>
      <c r="AH21" s="22">
        <f>SUM(AH7:AH20)</f>
        <v>7760</v>
      </c>
      <c r="AI21" s="22">
        <f t="shared" si="25"/>
        <v>11236</v>
      </c>
      <c r="AJ21" s="23">
        <f>MAX(AJ7:AJ20)</f>
        <v>20.556923076923077</v>
      </c>
      <c r="AK21" s="23">
        <f>MAX(AK7:AK20)</f>
        <v>16.834205128205127</v>
      </c>
      <c r="AL21" s="23">
        <f>MAX(AL7:AL20)</f>
        <v>0.91045428072218981</v>
      </c>
      <c r="AM21" s="23">
        <f>MAX(AM7:AM20)</f>
        <v>1.9650000000000001</v>
      </c>
      <c r="AN21" s="23">
        <f>MAX(AN7:AN20)</f>
        <v>1.3249854397204426</v>
      </c>
      <c r="AO21" s="24"/>
      <c r="AP21" s="24"/>
      <c r="AQ21" s="24"/>
      <c r="AR21" s="24"/>
      <c r="AS21" s="24"/>
      <c r="AT21" s="24"/>
      <c r="AU21" s="25"/>
      <c r="AV21" s="17">
        <f>SUM(AV7:AV20)</f>
        <v>15330.849466254907</v>
      </c>
      <c r="AW21" s="17">
        <f>SUM(AW7:AW20)</f>
        <v>5001.6439582096536</v>
      </c>
      <c r="AX21" s="18"/>
      <c r="AY21" s="20">
        <f>SUM(AY7:AY20)</f>
        <v>111477.99999999999</v>
      </c>
      <c r="AZ21" s="20">
        <f>SUM(AZ7:AZ20)</f>
        <v>111478.00000000001</v>
      </c>
      <c r="BA21" s="68">
        <v>3925.2</v>
      </c>
      <c r="BB21" s="66">
        <f>SUM(BB7:BB20)</f>
        <v>111478.00000000001</v>
      </c>
      <c r="BC21" s="66">
        <f t="shared" si="17"/>
        <v>115403.20000000001</v>
      </c>
      <c r="BD21" s="1">
        <f>SUM(BD7:BD20)</f>
        <v>115403.20000000001</v>
      </c>
    </row>
    <row r="22" spans="1:56" x14ac:dyDescent="0.25">
      <c r="AX22" s="29"/>
      <c r="AY22" s="29"/>
      <c r="AZ22" s="26"/>
    </row>
    <row r="23" spans="1:56" x14ac:dyDescent="0.25">
      <c r="AU23" s="39"/>
      <c r="AX23" s="2"/>
      <c r="AY23" s="2"/>
      <c r="AZ23" s="26">
        <v>111478</v>
      </c>
    </row>
    <row r="24" spans="1:56" x14ac:dyDescent="0.25">
      <c r="AU24" s="39"/>
      <c r="AX24" s="2"/>
      <c r="AY24" s="2"/>
      <c r="AZ24" s="26">
        <f>AZ25+AZ29</f>
        <v>111478</v>
      </c>
    </row>
    <row r="25" spans="1:56" x14ac:dyDescent="0.25">
      <c r="AU25" s="39"/>
      <c r="AX25" s="2"/>
      <c r="AY25" s="2"/>
      <c r="AZ25" s="26">
        <v>94490</v>
      </c>
    </row>
    <row r="26" spans="1:56" x14ac:dyDescent="0.25">
      <c r="AU26" s="39"/>
      <c r="AX26" s="29"/>
      <c r="AY26" s="29"/>
      <c r="AZ26" s="26">
        <v>3925.2</v>
      </c>
    </row>
    <row r="27" spans="1:56" x14ac:dyDescent="0.25">
      <c r="AU27" s="39"/>
      <c r="AX27" s="29"/>
      <c r="AY27" s="29"/>
      <c r="AZ27" s="26">
        <v>43</v>
      </c>
    </row>
    <row r="28" spans="1:56" x14ac:dyDescent="0.25">
      <c r="AU28" s="40"/>
      <c r="AX28" s="29"/>
      <c r="AY28" s="29"/>
      <c r="AZ28" s="26">
        <f>AZ25+AZ26+AZ27</f>
        <v>98458.2</v>
      </c>
    </row>
    <row r="29" spans="1:56" x14ac:dyDescent="0.25">
      <c r="AU29" s="39"/>
      <c r="AX29" s="29"/>
      <c r="AY29" s="29" t="s">
        <v>74</v>
      </c>
      <c r="AZ29" s="26">
        <v>16988</v>
      </c>
    </row>
    <row r="30" spans="1:56" x14ac:dyDescent="0.25">
      <c r="AU30" s="39"/>
      <c r="AX30" s="29"/>
      <c r="AY30" s="29"/>
      <c r="AZ30" s="26"/>
    </row>
    <row r="31" spans="1:56" x14ac:dyDescent="0.25">
      <c r="AU31" s="39"/>
      <c r="AX31" s="29"/>
      <c r="AY31" s="29"/>
      <c r="AZ31" s="26"/>
    </row>
    <row r="32" spans="1:56" x14ac:dyDescent="0.25">
      <c r="AU32" s="41"/>
      <c r="AX32" s="29"/>
      <c r="AY32" s="29"/>
      <c r="AZ32" s="26"/>
    </row>
    <row r="33" spans="50:52" x14ac:dyDescent="0.25">
      <c r="AX33" s="29"/>
      <c r="AY33" s="29"/>
      <c r="AZ33" s="26"/>
    </row>
    <row r="34" spans="50:52" x14ac:dyDescent="0.25">
      <c r="AX34" s="30"/>
      <c r="AY34" s="29"/>
      <c r="AZ34" s="42"/>
    </row>
  </sheetData>
  <mergeCells count="38">
    <mergeCell ref="H7:H20"/>
    <mergeCell ref="M7:M20"/>
    <mergeCell ref="Q7:Q20"/>
    <mergeCell ref="V7:V20"/>
    <mergeCell ref="X7:X20"/>
    <mergeCell ref="AX7:AX20"/>
    <mergeCell ref="AV5:AV6"/>
    <mergeCell ref="AW5:AW6"/>
    <mergeCell ref="AX5:AX6"/>
    <mergeCell ref="AY5:AY6"/>
    <mergeCell ref="AZ5:AZ6"/>
    <mergeCell ref="BA5:BC5"/>
    <mergeCell ref="AH5:AH6"/>
    <mergeCell ref="AI5:AI6"/>
    <mergeCell ref="AJ5:AN5"/>
    <mergeCell ref="AO5:AS5"/>
    <mergeCell ref="AT5:AT6"/>
    <mergeCell ref="AU5:AU6"/>
    <mergeCell ref="AG5:AG6"/>
    <mergeCell ref="O5:R5"/>
    <mergeCell ref="S5:W5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B1:N1"/>
    <mergeCell ref="B2:N2"/>
    <mergeCell ref="A5:A6"/>
    <mergeCell ref="B5:B6"/>
    <mergeCell ref="C5:C6"/>
    <mergeCell ref="D5:D6"/>
    <mergeCell ref="E5:I5"/>
    <mergeCell ref="J5:N5"/>
  </mergeCells>
  <conditionalFormatting sqref="AJ7:AN20">
    <cfRule type="cellIs" dxfId="0" priority="1" operator="equal">
      <formula>AJ$17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D2" sqref="D2:D15"/>
    </sheetView>
  </sheetViews>
  <sheetFormatPr defaultRowHeight="15" x14ac:dyDescent="0.25"/>
  <cols>
    <col min="1" max="1" width="38.140625" customWidth="1"/>
    <col min="2" max="2" width="12.5703125" customWidth="1"/>
    <col min="3" max="3" width="11.140625" customWidth="1"/>
    <col min="4" max="4" width="11.42578125" customWidth="1"/>
  </cols>
  <sheetData>
    <row r="1" spans="1:4" x14ac:dyDescent="0.25">
      <c r="A1" s="51"/>
      <c r="B1" s="51">
        <v>2023</v>
      </c>
      <c r="C1" s="51">
        <v>2024</v>
      </c>
      <c r="D1" s="51">
        <v>2025</v>
      </c>
    </row>
    <row r="2" spans="1:4" ht="15.75" x14ac:dyDescent="0.25">
      <c r="A2" s="52" t="s">
        <v>53</v>
      </c>
      <c r="B2" s="69">
        <v>12253.6</v>
      </c>
      <c r="C2" s="51">
        <v>10544.6</v>
      </c>
      <c r="D2" s="80">
        <v>10604.5</v>
      </c>
    </row>
    <row r="3" spans="1:4" ht="15.75" x14ac:dyDescent="0.25">
      <c r="A3" s="52" t="s">
        <v>54</v>
      </c>
      <c r="B3" s="69">
        <v>8524.7000000000007</v>
      </c>
      <c r="C3" s="51">
        <v>7377.7</v>
      </c>
      <c r="D3" s="80">
        <v>7415.5</v>
      </c>
    </row>
    <row r="4" spans="1:4" ht="15.75" x14ac:dyDescent="0.25">
      <c r="A4" s="52" t="s">
        <v>55</v>
      </c>
      <c r="B4" s="69">
        <v>10915.2</v>
      </c>
      <c r="C4" s="51">
        <v>9455.6</v>
      </c>
      <c r="D4" s="80">
        <v>9506.9</v>
      </c>
    </row>
    <row r="5" spans="1:4" ht="30" x14ac:dyDescent="0.25">
      <c r="A5" s="52" t="s">
        <v>56</v>
      </c>
      <c r="B5" s="69">
        <v>5609.4</v>
      </c>
      <c r="C5" s="51">
        <v>4861.3999999999996</v>
      </c>
      <c r="D5" s="80">
        <v>4885.6000000000004</v>
      </c>
    </row>
    <row r="6" spans="1:4" ht="15.75" x14ac:dyDescent="0.25">
      <c r="A6" s="52" t="s">
        <v>57</v>
      </c>
      <c r="B6" s="69">
        <v>11604.4</v>
      </c>
      <c r="C6" s="51">
        <v>10006.200000000001</v>
      </c>
      <c r="D6" s="80">
        <v>10061.700000000001</v>
      </c>
    </row>
    <row r="7" spans="1:4" ht="15.75" x14ac:dyDescent="0.25">
      <c r="A7" s="52" t="s">
        <v>58</v>
      </c>
      <c r="B7" s="69">
        <v>9756.9</v>
      </c>
      <c r="C7" s="51">
        <v>8393.7000000000007</v>
      </c>
      <c r="D7" s="80">
        <v>8441.4</v>
      </c>
    </row>
    <row r="8" spans="1:4" ht="30" x14ac:dyDescent="0.25">
      <c r="A8" s="52" t="s">
        <v>59</v>
      </c>
      <c r="B8" s="69">
        <v>5402.5</v>
      </c>
      <c r="C8" s="51">
        <v>4680.3</v>
      </c>
      <c r="D8" s="80">
        <v>4703.8999999999996</v>
      </c>
    </row>
    <row r="9" spans="1:4" ht="15.75" x14ac:dyDescent="0.25">
      <c r="A9" s="52" t="s">
        <v>60</v>
      </c>
      <c r="B9" s="69">
        <v>6314</v>
      </c>
      <c r="C9" s="51">
        <v>5451.4</v>
      </c>
      <c r="D9" s="80">
        <v>5479.6</v>
      </c>
    </row>
    <row r="10" spans="1:4" ht="15.75" x14ac:dyDescent="0.25">
      <c r="A10" s="52" t="s">
        <v>61</v>
      </c>
      <c r="B10" s="69">
        <v>6346</v>
      </c>
      <c r="C10" s="51">
        <v>5488.4</v>
      </c>
      <c r="D10" s="80">
        <v>5517.5</v>
      </c>
    </row>
    <row r="11" spans="1:4" ht="15.75" x14ac:dyDescent="0.25">
      <c r="A11" s="52" t="s">
        <v>62</v>
      </c>
      <c r="B11" s="69">
        <v>6528</v>
      </c>
      <c r="C11" s="51">
        <v>5647.4</v>
      </c>
      <c r="D11" s="80">
        <v>5678.2</v>
      </c>
    </row>
    <row r="12" spans="1:4" ht="15.75" x14ac:dyDescent="0.25">
      <c r="A12" s="52" t="s">
        <v>63</v>
      </c>
      <c r="B12" s="69">
        <v>18411</v>
      </c>
      <c r="C12" s="51">
        <v>15890.4</v>
      </c>
      <c r="D12" s="80">
        <v>15978.1</v>
      </c>
    </row>
    <row r="13" spans="1:4" ht="15.75" x14ac:dyDescent="0.25">
      <c r="A13" s="52" t="s">
        <v>64</v>
      </c>
      <c r="B13" s="69">
        <v>9557.4</v>
      </c>
      <c r="C13" s="51">
        <v>8115.6</v>
      </c>
      <c r="D13" s="80">
        <v>8168.2</v>
      </c>
    </row>
    <row r="14" spans="1:4" ht="15.75" x14ac:dyDescent="0.25">
      <c r="A14" s="52" t="s">
        <v>65</v>
      </c>
      <c r="B14" s="69">
        <v>15580.3</v>
      </c>
      <c r="C14" s="51">
        <v>13409.8</v>
      </c>
      <c r="D14" s="80">
        <v>13485.6</v>
      </c>
    </row>
    <row r="15" spans="1:4" ht="15.75" x14ac:dyDescent="0.25">
      <c r="A15" s="52" t="s">
        <v>66</v>
      </c>
      <c r="B15" s="69">
        <v>8596.6</v>
      </c>
      <c r="C15" s="51">
        <v>5330</v>
      </c>
      <c r="D15" s="80">
        <v>5476.5</v>
      </c>
    </row>
    <row r="16" spans="1:4" ht="15.75" x14ac:dyDescent="0.25">
      <c r="A16" s="51"/>
      <c r="B16" s="18">
        <f>SUM(B2:B15)</f>
        <v>135400</v>
      </c>
      <c r="C16" s="69">
        <f>SUM(C2:C15)</f>
        <v>114652.5</v>
      </c>
      <c r="D16" s="17">
        <f>SUM(D2:D15)</f>
        <v>115403.20000000001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2024</vt:lpstr>
      <vt:lpstr>2025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doxod_Lida</dc:creator>
  <cp:lastModifiedBy>Admin</cp:lastModifiedBy>
  <cp:lastPrinted>2022-12-21T06:24:04Z</cp:lastPrinted>
  <dcterms:created xsi:type="dcterms:W3CDTF">2021-10-29T06:46:55Z</dcterms:created>
  <dcterms:modified xsi:type="dcterms:W3CDTF">2023-01-25T00:16:04Z</dcterms:modified>
</cp:coreProperties>
</file>